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ARA COPIAR\estadistica_I\proyectoPID\practica6_2022\"/>
    </mc:Choice>
  </mc:AlternateContent>
  <bookViews>
    <workbookView xWindow="0" yWindow="0" windowWidth="28800" windowHeight="14685" activeTab="4"/>
  </bookViews>
  <sheets>
    <sheet name="Estatura-Peso" sheetId="9" r:id="rId1"/>
    <sheet name="Sandías" sheetId="10" r:id="rId2"/>
    <sheet name="Publicidad" sheetId="11" r:id="rId3"/>
    <sheet name="Producción_agrícola" sheetId="13" r:id="rId4"/>
    <sheet name="Población" sheetId="12" r:id="rId5"/>
  </sheets>
  <definedNames>
    <definedName name="Estatura">'Estatura-Peso'!$B$4:$B$140</definedName>
    <definedName name="Peso">'Estatura-Peso'!$C$4:$C$140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2" i="11" l="1"/>
  <c r="N42" i="11"/>
  <c r="P25" i="10"/>
  <c r="N25" i="10"/>
  <c r="K26" i="10" l="1"/>
  <c r="C142" i="9" l="1"/>
  <c r="C143" i="9" s="1"/>
  <c r="B142" i="9"/>
  <c r="B143" i="9" s="1"/>
  <c r="C141" i="9"/>
  <c r="B141" i="9"/>
  <c r="L35" i="9" l="1"/>
  <c r="J32" i="12" l="1"/>
  <c r="J28" i="12"/>
  <c r="J36" i="12" s="1"/>
  <c r="J27" i="12"/>
  <c r="K6" i="10" l="1"/>
  <c r="K11" i="10"/>
  <c r="K22" i="10" l="1"/>
  <c r="I20" i="13" l="1"/>
  <c r="I15" i="13"/>
  <c r="I14" i="13"/>
  <c r="K35" i="11"/>
  <c r="J28" i="11"/>
  <c r="J27" i="11"/>
  <c r="J43" i="11" s="1"/>
  <c r="E14" i="11" l="1"/>
  <c r="F14" i="11" s="1"/>
  <c r="G14" i="11" s="1"/>
  <c r="E21" i="11"/>
  <c r="F21" i="11" s="1"/>
  <c r="G21" i="11" s="1"/>
  <c r="E17" i="11"/>
  <c r="F17" i="11" s="1"/>
  <c r="G17" i="11" s="1"/>
  <c r="E23" i="11"/>
  <c r="F23" i="11" s="1"/>
  <c r="G23" i="11" s="1"/>
  <c r="E19" i="11"/>
  <c r="F19" i="11" s="1"/>
  <c r="G19" i="11" s="1"/>
  <c r="E15" i="11"/>
  <c r="F15" i="11" s="1"/>
  <c r="G15" i="11" s="1"/>
  <c r="E20" i="11"/>
  <c r="F20" i="11" s="1"/>
  <c r="G20" i="11" s="1"/>
  <c r="E16" i="11"/>
  <c r="F16" i="11" s="1"/>
  <c r="G16" i="11" s="1"/>
  <c r="E22" i="11"/>
  <c r="F22" i="11" s="1"/>
  <c r="G22" i="11" s="1"/>
  <c r="E18" i="11"/>
  <c r="F18" i="11" s="1"/>
  <c r="G18" i="11" s="1"/>
  <c r="D14" i="13"/>
  <c r="E14" i="13" s="1"/>
  <c r="D15" i="13"/>
  <c r="E15" i="13" s="1"/>
  <c r="D19" i="13"/>
  <c r="E19" i="13" s="1"/>
  <c r="D16" i="13"/>
  <c r="E16" i="13" s="1"/>
  <c r="D20" i="13"/>
  <c r="E20" i="13" s="1"/>
  <c r="D17" i="13"/>
  <c r="E17" i="13" s="1"/>
  <c r="D18" i="13"/>
  <c r="E18" i="13" s="1"/>
  <c r="G24" i="11" l="1"/>
  <c r="K34" i="11" s="1"/>
  <c r="F24" i="11"/>
  <c r="N39" i="9"/>
  <c r="K19" i="10" l="1"/>
  <c r="K18" i="10"/>
  <c r="K15" i="10"/>
  <c r="K14" i="10"/>
  <c r="K10" i="10"/>
  <c r="K9" i="10"/>
  <c r="K12" i="10" s="1"/>
  <c r="K5" i="10"/>
  <c r="K4" i="10"/>
  <c r="K7" i="10" s="1"/>
  <c r="C3" i="10"/>
  <c r="D8" i="10" l="1"/>
  <c r="D12" i="10"/>
  <c r="D9" i="10"/>
  <c r="D13" i="10"/>
  <c r="D6" i="10"/>
  <c r="D10" i="10"/>
  <c r="D14" i="10"/>
  <c r="D7" i="10"/>
  <c r="D11" i="10"/>
  <c r="D5" i="10"/>
  <c r="M31" i="9"/>
  <c r="K31" i="9"/>
  <c r="E1" i="9" l="1"/>
  <c r="M29" i="9" l="1"/>
  <c r="K29" i="9"/>
  <c r="M26" i="9"/>
  <c r="K25" i="9"/>
  <c r="N21" i="9"/>
  <c r="K21" i="9"/>
  <c r="N20" i="9"/>
  <c r="K20" i="9"/>
  <c r="K43" i="9" l="1"/>
  <c r="O43" i="9"/>
  <c r="M43" i="9"/>
  <c r="D23" i="9"/>
  <c r="E23" i="9" s="1"/>
  <c r="F23" i="9" s="1"/>
  <c r="D27" i="9"/>
  <c r="E27" i="9" s="1"/>
  <c r="F27" i="9" s="1"/>
  <c r="D31" i="9"/>
  <c r="E31" i="9" s="1"/>
  <c r="F31" i="9" s="1"/>
  <c r="D35" i="9"/>
  <c r="E35" i="9" s="1"/>
  <c r="F35" i="9" s="1"/>
  <c r="D39" i="9"/>
  <c r="E39" i="9" s="1"/>
  <c r="F39" i="9" s="1"/>
  <c r="D43" i="9"/>
  <c r="E43" i="9" s="1"/>
  <c r="F43" i="9" s="1"/>
  <c r="D47" i="9"/>
  <c r="E47" i="9" s="1"/>
  <c r="F47" i="9" s="1"/>
  <c r="D51" i="9"/>
  <c r="E51" i="9" s="1"/>
  <c r="F51" i="9" s="1"/>
  <c r="D55" i="9"/>
  <c r="E55" i="9" s="1"/>
  <c r="F55" i="9" s="1"/>
  <c r="D59" i="9"/>
  <c r="E59" i="9" s="1"/>
  <c r="F59" i="9" s="1"/>
  <c r="D63" i="9"/>
  <c r="D67" i="9"/>
  <c r="E67" i="9" s="1"/>
  <c r="F67" i="9" s="1"/>
  <c r="D71" i="9"/>
  <c r="E71" i="9" s="1"/>
  <c r="F71" i="9" s="1"/>
  <c r="D75" i="9"/>
  <c r="E75" i="9" s="1"/>
  <c r="F75" i="9" s="1"/>
  <c r="D79" i="9"/>
  <c r="E79" i="9" s="1"/>
  <c r="F79" i="9" s="1"/>
  <c r="D83" i="9"/>
  <c r="E83" i="9" s="1"/>
  <c r="F83" i="9" s="1"/>
  <c r="D87" i="9"/>
  <c r="E87" i="9" s="1"/>
  <c r="F87" i="9" s="1"/>
  <c r="D91" i="9"/>
  <c r="E91" i="9" s="1"/>
  <c r="F91" i="9" s="1"/>
  <c r="D95" i="9"/>
  <c r="E95" i="9" s="1"/>
  <c r="F95" i="9" s="1"/>
  <c r="D99" i="9"/>
  <c r="E99" i="9" s="1"/>
  <c r="F99" i="9" s="1"/>
  <c r="D103" i="9"/>
  <c r="E103" i="9" s="1"/>
  <c r="F103" i="9" s="1"/>
  <c r="D107" i="9"/>
  <c r="E107" i="9" s="1"/>
  <c r="F107" i="9" s="1"/>
  <c r="D111" i="9"/>
  <c r="E111" i="9" s="1"/>
  <c r="F111" i="9" s="1"/>
  <c r="D115" i="9"/>
  <c r="E115" i="9" s="1"/>
  <c r="F115" i="9" s="1"/>
  <c r="D119" i="9"/>
  <c r="E119" i="9" s="1"/>
  <c r="F119" i="9" s="1"/>
  <c r="D123" i="9"/>
  <c r="E123" i="9" s="1"/>
  <c r="F123" i="9" s="1"/>
  <c r="D127" i="9"/>
  <c r="E127" i="9" s="1"/>
  <c r="F127" i="9" s="1"/>
  <c r="D131" i="9"/>
  <c r="E131" i="9" s="1"/>
  <c r="F131" i="9" s="1"/>
  <c r="D135" i="9"/>
  <c r="E135" i="9" s="1"/>
  <c r="F135" i="9" s="1"/>
  <c r="D139" i="9"/>
  <c r="E139" i="9" s="1"/>
  <c r="F139" i="9" s="1"/>
  <c r="D24" i="9"/>
  <c r="E24" i="9" s="1"/>
  <c r="F24" i="9" s="1"/>
  <c r="D28" i="9"/>
  <c r="E28" i="9" s="1"/>
  <c r="F28" i="9" s="1"/>
  <c r="D32" i="9"/>
  <c r="E32" i="9" s="1"/>
  <c r="F32" i="9" s="1"/>
  <c r="D36" i="9"/>
  <c r="E36" i="9" s="1"/>
  <c r="F36" i="9" s="1"/>
  <c r="D40" i="9"/>
  <c r="E40" i="9" s="1"/>
  <c r="F40" i="9" s="1"/>
  <c r="D44" i="9"/>
  <c r="E44" i="9" s="1"/>
  <c r="F44" i="9" s="1"/>
  <c r="D48" i="9"/>
  <c r="E48" i="9" s="1"/>
  <c r="F48" i="9" s="1"/>
  <c r="D52" i="9"/>
  <c r="E52" i="9" s="1"/>
  <c r="F52" i="9" s="1"/>
  <c r="D56" i="9"/>
  <c r="E56" i="9" s="1"/>
  <c r="F56" i="9" s="1"/>
  <c r="D60" i="9"/>
  <c r="E60" i="9" s="1"/>
  <c r="F60" i="9" s="1"/>
  <c r="D64" i="9"/>
  <c r="D68" i="9"/>
  <c r="E68" i="9" s="1"/>
  <c r="F68" i="9" s="1"/>
  <c r="D72" i="9"/>
  <c r="E72" i="9" s="1"/>
  <c r="F72" i="9" s="1"/>
  <c r="D76" i="9"/>
  <c r="E76" i="9" s="1"/>
  <c r="F76" i="9" s="1"/>
  <c r="D80" i="9"/>
  <c r="E80" i="9" s="1"/>
  <c r="F80" i="9" s="1"/>
  <c r="D84" i="9"/>
  <c r="E84" i="9" s="1"/>
  <c r="F84" i="9" s="1"/>
  <c r="D88" i="9"/>
  <c r="E88" i="9" s="1"/>
  <c r="F88" i="9" s="1"/>
  <c r="D92" i="9"/>
  <c r="E92" i="9" s="1"/>
  <c r="F92" i="9" s="1"/>
  <c r="D96" i="9"/>
  <c r="E96" i="9" s="1"/>
  <c r="F96" i="9" s="1"/>
  <c r="D100" i="9"/>
  <c r="E100" i="9" s="1"/>
  <c r="F100" i="9" s="1"/>
  <c r="D104" i="9"/>
  <c r="E104" i="9" s="1"/>
  <c r="F104" i="9" s="1"/>
  <c r="D108" i="9"/>
  <c r="E108" i="9" s="1"/>
  <c r="F108" i="9" s="1"/>
  <c r="D112" i="9"/>
  <c r="E112" i="9" s="1"/>
  <c r="F112" i="9" s="1"/>
  <c r="D116" i="9"/>
  <c r="E116" i="9" s="1"/>
  <c r="F116" i="9" s="1"/>
  <c r="D120" i="9"/>
  <c r="E120" i="9" s="1"/>
  <c r="F120" i="9" s="1"/>
  <c r="D124" i="9"/>
  <c r="E124" i="9" s="1"/>
  <c r="F124" i="9" s="1"/>
  <c r="D128" i="9"/>
  <c r="E128" i="9" s="1"/>
  <c r="F128" i="9" s="1"/>
  <c r="D132" i="9"/>
  <c r="E132" i="9" s="1"/>
  <c r="F132" i="9" s="1"/>
  <c r="D136" i="9"/>
  <c r="D140" i="9"/>
  <c r="E140" i="9" s="1"/>
  <c r="F140" i="9" s="1"/>
  <c r="D21" i="9"/>
  <c r="E21" i="9" s="1"/>
  <c r="F21" i="9" s="1"/>
  <c r="D25" i="9"/>
  <c r="E25" i="9" s="1"/>
  <c r="F25" i="9" s="1"/>
  <c r="D29" i="9"/>
  <c r="E29" i="9" s="1"/>
  <c r="F29" i="9" s="1"/>
  <c r="D33" i="9"/>
  <c r="E33" i="9" s="1"/>
  <c r="F33" i="9" s="1"/>
  <c r="D37" i="9"/>
  <c r="E37" i="9" s="1"/>
  <c r="F37" i="9" s="1"/>
  <c r="D41" i="9"/>
  <c r="E41" i="9" s="1"/>
  <c r="F41" i="9" s="1"/>
  <c r="D45" i="9"/>
  <c r="D49" i="9"/>
  <c r="E49" i="9" s="1"/>
  <c r="F49" i="9" s="1"/>
  <c r="D53" i="9"/>
  <c r="E53" i="9" s="1"/>
  <c r="F53" i="9" s="1"/>
  <c r="D57" i="9"/>
  <c r="E57" i="9" s="1"/>
  <c r="F57" i="9" s="1"/>
  <c r="D61" i="9"/>
  <c r="E61" i="9" s="1"/>
  <c r="F61" i="9" s="1"/>
  <c r="D65" i="9"/>
  <c r="E65" i="9" s="1"/>
  <c r="F65" i="9" s="1"/>
  <c r="D69" i="9"/>
  <c r="E69" i="9" s="1"/>
  <c r="F69" i="9" s="1"/>
  <c r="D73" i="9"/>
  <c r="E73" i="9" s="1"/>
  <c r="F73" i="9" s="1"/>
  <c r="D77" i="9"/>
  <c r="E77" i="9" s="1"/>
  <c r="F77" i="9" s="1"/>
  <c r="D81" i="9"/>
  <c r="E81" i="9" s="1"/>
  <c r="F81" i="9" s="1"/>
  <c r="D85" i="9"/>
  <c r="E85" i="9" s="1"/>
  <c r="F85" i="9" s="1"/>
  <c r="D89" i="9"/>
  <c r="E89" i="9" s="1"/>
  <c r="F89" i="9" s="1"/>
  <c r="D93" i="9"/>
  <c r="E93" i="9" s="1"/>
  <c r="F93" i="9" s="1"/>
  <c r="D97" i="9"/>
  <c r="E97" i="9" s="1"/>
  <c r="F97" i="9" s="1"/>
  <c r="D101" i="9"/>
  <c r="E101" i="9" s="1"/>
  <c r="F101" i="9" s="1"/>
  <c r="D105" i="9"/>
  <c r="E105" i="9" s="1"/>
  <c r="F105" i="9" s="1"/>
  <c r="D109" i="9"/>
  <c r="D113" i="9"/>
  <c r="E113" i="9" s="1"/>
  <c r="F113" i="9" s="1"/>
  <c r="D117" i="9"/>
  <c r="E117" i="9" s="1"/>
  <c r="F117" i="9" s="1"/>
  <c r="D30" i="9"/>
  <c r="E30" i="9" s="1"/>
  <c r="F30" i="9" s="1"/>
  <c r="D46" i="9"/>
  <c r="E46" i="9" s="1"/>
  <c r="F46" i="9" s="1"/>
  <c r="D62" i="9"/>
  <c r="E62" i="9" s="1"/>
  <c r="F62" i="9" s="1"/>
  <c r="D78" i="9"/>
  <c r="E78" i="9" s="1"/>
  <c r="F78" i="9" s="1"/>
  <c r="D94" i="9"/>
  <c r="E94" i="9" s="1"/>
  <c r="F94" i="9" s="1"/>
  <c r="D110" i="9"/>
  <c r="E110" i="9" s="1"/>
  <c r="F110" i="9" s="1"/>
  <c r="D122" i="9"/>
  <c r="E122" i="9" s="1"/>
  <c r="F122" i="9" s="1"/>
  <c r="D130" i="9"/>
  <c r="E130" i="9" s="1"/>
  <c r="F130" i="9" s="1"/>
  <c r="D138" i="9"/>
  <c r="E138" i="9" s="1"/>
  <c r="F138" i="9" s="1"/>
  <c r="D34" i="9"/>
  <c r="E34" i="9" s="1"/>
  <c r="F34" i="9" s="1"/>
  <c r="D50" i="9"/>
  <c r="E50" i="9" s="1"/>
  <c r="F50" i="9" s="1"/>
  <c r="D66" i="9"/>
  <c r="E66" i="9" s="1"/>
  <c r="F66" i="9" s="1"/>
  <c r="D82" i="9"/>
  <c r="E82" i="9" s="1"/>
  <c r="F82" i="9" s="1"/>
  <c r="D98" i="9"/>
  <c r="E98" i="9" s="1"/>
  <c r="F98" i="9" s="1"/>
  <c r="D114" i="9"/>
  <c r="E114" i="9" s="1"/>
  <c r="F114" i="9" s="1"/>
  <c r="D125" i="9"/>
  <c r="E125" i="9" s="1"/>
  <c r="F125" i="9" s="1"/>
  <c r="D133" i="9"/>
  <c r="E133" i="9" s="1"/>
  <c r="F133" i="9" s="1"/>
  <c r="D22" i="9"/>
  <c r="E22" i="9" s="1"/>
  <c r="F22" i="9" s="1"/>
  <c r="D38" i="9"/>
  <c r="E38" i="9" s="1"/>
  <c r="F38" i="9" s="1"/>
  <c r="D54" i="9"/>
  <c r="E54" i="9" s="1"/>
  <c r="F54" i="9" s="1"/>
  <c r="D70" i="9"/>
  <c r="E70" i="9" s="1"/>
  <c r="F70" i="9" s="1"/>
  <c r="D86" i="9"/>
  <c r="E86" i="9" s="1"/>
  <c r="F86" i="9" s="1"/>
  <c r="D102" i="9"/>
  <c r="E102" i="9" s="1"/>
  <c r="F102" i="9" s="1"/>
  <c r="D118" i="9"/>
  <c r="E118" i="9" s="1"/>
  <c r="F118" i="9" s="1"/>
  <c r="D126" i="9"/>
  <c r="E126" i="9" s="1"/>
  <c r="F126" i="9" s="1"/>
  <c r="D134" i="9"/>
  <c r="E134" i="9" s="1"/>
  <c r="F134" i="9" s="1"/>
  <c r="D26" i="9"/>
  <c r="E26" i="9" s="1"/>
  <c r="F26" i="9" s="1"/>
  <c r="D42" i="9"/>
  <c r="E42" i="9" s="1"/>
  <c r="F42" i="9" s="1"/>
  <c r="D58" i="9"/>
  <c r="E58" i="9" s="1"/>
  <c r="F58" i="9" s="1"/>
  <c r="D74" i="9"/>
  <c r="E74" i="9" s="1"/>
  <c r="F74" i="9" s="1"/>
  <c r="D90" i="9"/>
  <c r="E90" i="9" s="1"/>
  <c r="F90" i="9" s="1"/>
  <c r="D106" i="9"/>
  <c r="E106" i="9" s="1"/>
  <c r="F106" i="9" s="1"/>
  <c r="D121" i="9"/>
  <c r="E121" i="9" s="1"/>
  <c r="F121" i="9" s="1"/>
  <c r="D129" i="9"/>
  <c r="E129" i="9" s="1"/>
  <c r="F129" i="9" s="1"/>
  <c r="D137" i="9"/>
  <c r="E137" i="9" s="1"/>
  <c r="F137" i="9" s="1"/>
  <c r="K22" i="9"/>
  <c r="N22" i="9"/>
  <c r="E13" i="10"/>
  <c r="E6" i="10"/>
  <c r="E10" i="10"/>
  <c r="E9" i="10"/>
  <c r="E8" i="10"/>
  <c r="E7" i="10"/>
  <c r="E11" i="10"/>
  <c r="E12" i="10"/>
  <c r="E14" i="10"/>
  <c r="D5" i="9"/>
  <c r="E5" i="9" s="1"/>
  <c r="F5" i="9" s="1"/>
  <c r="E136" i="9"/>
  <c r="F136" i="9" s="1"/>
  <c r="E64" i="9"/>
  <c r="F64" i="9" s="1"/>
  <c r="D20" i="9"/>
  <c r="E20" i="9" s="1"/>
  <c r="F20" i="9" s="1"/>
  <c r="D16" i="9"/>
  <c r="E16" i="9" s="1"/>
  <c r="F16" i="9" s="1"/>
  <c r="D12" i="9"/>
  <c r="E12" i="9" s="1"/>
  <c r="F12" i="9" s="1"/>
  <c r="D8" i="9"/>
  <c r="E8" i="9" s="1"/>
  <c r="F8" i="9" s="1"/>
  <c r="E63" i="9"/>
  <c r="F63" i="9" s="1"/>
  <c r="D19" i="9"/>
  <c r="E19" i="9" s="1"/>
  <c r="F19" i="9" s="1"/>
  <c r="D15" i="9"/>
  <c r="E15" i="9" s="1"/>
  <c r="F15" i="9" s="1"/>
  <c r="D11" i="9"/>
  <c r="E11" i="9" s="1"/>
  <c r="F11" i="9" s="1"/>
  <c r="D7" i="9"/>
  <c r="E7" i="9" s="1"/>
  <c r="F7" i="9" s="1"/>
  <c r="D18" i="9"/>
  <c r="E18" i="9" s="1"/>
  <c r="F18" i="9" s="1"/>
  <c r="D14" i="9"/>
  <c r="E14" i="9" s="1"/>
  <c r="F14" i="9" s="1"/>
  <c r="D10" i="9"/>
  <c r="E10" i="9" s="1"/>
  <c r="F10" i="9" s="1"/>
  <c r="D6" i="9"/>
  <c r="E6" i="9" s="1"/>
  <c r="F6" i="9" s="1"/>
  <c r="K26" i="9"/>
  <c r="N38" i="9" s="1"/>
  <c r="D4" i="9"/>
  <c r="E109" i="9"/>
  <c r="F109" i="9" s="1"/>
  <c r="E45" i="9"/>
  <c r="F45" i="9" s="1"/>
  <c r="D17" i="9"/>
  <c r="E17" i="9" s="1"/>
  <c r="F17" i="9" s="1"/>
  <c r="D13" i="9"/>
  <c r="E13" i="9" s="1"/>
  <c r="F13" i="9" s="1"/>
  <c r="D9" i="9"/>
  <c r="E9" i="9" s="1"/>
  <c r="F9" i="9" s="1"/>
  <c r="D142" i="9" l="1"/>
  <c r="G142" i="9" s="1"/>
  <c r="D141" i="9"/>
  <c r="E5" i="10"/>
  <c r="N36" i="9"/>
  <c r="E4" i="9"/>
  <c r="N34" i="9" l="1"/>
  <c r="N35" i="9" s="1"/>
  <c r="E142" i="9"/>
  <c r="E141" i="9"/>
  <c r="F4" i="9"/>
  <c r="F141" i="9" l="1"/>
  <c r="L34" i="9" s="1"/>
  <c r="L36" i="9" s="1"/>
  <c r="K38" i="9" l="1"/>
</calcChain>
</file>

<file path=xl/sharedStrings.xml><?xml version="1.0" encoding="utf-8"?>
<sst xmlns="http://schemas.openxmlformats.org/spreadsheetml/2006/main" count="202" uniqueCount="160">
  <si>
    <t>Estatura</t>
  </si>
  <si>
    <t>Peso</t>
  </si>
  <si>
    <t>X</t>
  </si>
  <si>
    <t>Y</t>
  </si>
  <si>
    <t>kg</t>
  </si>
  <si>
    <t>cm</t>
  </si>
  <si>
    <t>Covarianza</t>
  </si>
  <si>
    <t>Por cada centímetro de altura, el peso se incrementa en 1 kg.</t>
  </si>
  <si>
    <t>Y^(teóricos)</t>
  </si>
  <si>
    <t>e (Residuos)</t>
  </si>
  <si>
    <t>e^2</t>
  </si>
  <si>
    <t>Varianza residual</t>
  </si>
  <si>
    <t>Varianza explicada</t>
  </si>
  <si>
    <t>kg.</t>
  </si>
  <si>
    <t>Predicción</t>
  </si>
  <si>
    <t>La estatura explica el 61,53% de la variabilidad del peso.</t>
  </si>
  <si>
    <t>cm*kg</t>
  </si>
  <si>
    <t>D. Típica Peso</t>
  </si>
  <si>
    <t>Media Estatura</t>
  </si>
  <si>
    <t>Media  Peso</t>
  </si>
  <si>
    <t>D. Típica Estatura</t>
  </si>
  <si>
    <t>N=</t>
  </si>
  <si>
    <t>La relación lineal entre las variables es directa y fuerte</t>
  </si>
  <si>
    <t xml:space="preserve">b = </t>
  </si>
  <si>
    <t xml:space="preserve">R2 = </t>
  </si>
  <si>
    <t xml:space="preserve">r2 = </t>
  </si>
  <si>
    <t>La relación lineal es directa, es decir, a mayor altura, más peso</t>
  </si>
  <si>
    <t>y^i</t>
  </si>
  <si>
    <t>ei</t>
  </si>
  <si>
    <t>Media X</t>
  </si>
  <si>
    <t>Varianza X</t>
  </si>
  <si>
    <t>Sx</t>
  </si>
  <si>
    <t>Media Y</t>
  </si>
  <si>
    <t>Varianza Y</t>
  </si>
  <si>
    <t>SY</t>
  </si>
  <si>
    <t>Covarianza XY</t>
  </si>
  <si>
    <t>r</t>
  </si>
  <si>
    <t>b</t>
  </si>
  <si>
    <t>a</t>
  </si>
  <si>
    <t>Puesto que r es mayor que 0,75, podemos decir que el ajuste es bueno.</t>
  </si>
  <si>
    <t>El gráfico de residuos no muestra ningún patrón. Ajuste bueno.</t>
  </si>
  <si>
    <t>Año</t>
  </si>
  <si>
    <t>X (millones €)</t>
  </si>
  <si>
    <t>Y (millones €)</t>
  </si>
  <si>
    <t>ei^2</t>
  </si>
  <si>
    <t>Recta</t>
  </si>
  <si>
    <t>Y=-12,8743 + 3,4497X</t>
  </si>
  <si>
    <t>yi^</t>
  </si>
  <si>
    <t>Ciudad</t>
  </si>
  <si>
    <t>Población (en millones)</t>
  </si>
  <si>
    <t>Edad media (en años)</t>
  </si>
  <si>
    <t>Chicago</t>
  </si>
  <si>
    <t>Dallas</t>
  </si>
  <si>
    <t>Houston</t>
  </si>
  <si>
    <t>Los Angeles</t>
  </si>
  <si>
    <t>Nueva York</t>
  </si>
  <si>
    <t>Filadelfia</t>
  </si>
  <si>
    <t>Phoenix</t>
  </si>
  <si>
    <t>San Antonio</t>
  </si>
  <si>
    <t>San Diego</t>
  </si>
  <si>
    <t>San José</t>
  </si>
  <si>
    <t>Gastos de producción</t>
  </si>
  <si>
    <t>Ingresos totales</t>
  </si>
  <si>
    <t>a =</t>
  </si>
  <si>
    <t>Y = 4,1984 + 1,6290*X</t>
  </si>
  <si>
    <t>Gastos en publicidad</t>
  </si>
  <si>
    <t>Beneficios anuales</t>
  </si>
  <si>
    <t>El modelo explica el 97,10% de la variabilidad de la producción de sandías.</t>
  </si>
  <si>
    <t>La predicción es fiable porque se trata de una interpolación y el ajuste es bueno.</t>
  </si>
  <si>
    <t>Las variables no son incorreladas. Hay una relación lineal directa.</t>
  </si>
  <si>
    <t>La correlación es fuerte.</t>
  </si>
  <si>
    <t>y el gráfico de residuos no muestra ningún patrón</t>
  </si>
  <si>
    <t>Y^</t>
  </si>
  <si>
    <t>Error</t>
  </si>
  <si>
    <t>Incremento en los ingresos por cada unidad adicional de gasto en producción</t>
  </si>
  <si>
    <t>El modelo lineal explica el 68,59% de la variabilidad de los ingresos totales</t>
  </si>
  <si>
    <t>Recta de regresión</t>
  </si>
  <si>
    <t>Ecuación recta</t>
  </si>
  <si>
    <t>Y = 31,3829 + 0,2699*X</t>
  </si>
  <si>
    <t>Bondad del ajuste</t>
  </si>
  <si>
    <t>años</t>
  </si>
  <si>
    <t>El modelo sólo explica un 19,51% de la variabilidad de la edad</t>
  </si>
  <si>
    <t>CV Y</t>
  </si>
  <si>
    <t>CV X</t>
  </si>
  <si>
    <t>Es más homogénea la producción de sandías</t>
  </si>
  <si>
    <t>millones euros</t>
  </si>
  <si>
    <t>se trata de una extrapolación</t>
  </si>
  <si>
    <t>La predicción no es fiable porque aunque el ajuste es bueno</t>
  </si>
  <si>
    <t>Beneficio obtenido si no se realiza gasto en publicidad</t>
  </si>
  <si>
    <t>El modelo lineal explica el 99,37% de la variabilidad de los beneficios</t>
  </si>
  <si>
    <t xml:space="preserve">La recta de regresión de la altura sobre el peso es:   </t>
  </si>
  <si>
    <t>X = 132,57 + 0,6139*Y</t>
  </si>
  <si>
    <t>Y = -107,396+1,0022*X</t>
  </si>
  <si>
    <t>CV Estatura</t>
  </si>
  <si>
    <t>CV Peso</t>
  </si>
  <si>
    <t>La estatura es más homogénea que el peso.</t>
  </si>
  <si>
    <t>Coef. Corr r</t>
  </si>
  <si>
    <t xml:space="preserve">b(Y|X) = </t>
  </si>
  <si>
    <t xml:space="preserve">a(Y|X) = </t>
  </si>
  <si>
    <t xml:space="preserve">b(X|Y) = </t>
  </si>
  <si>
    <t xml:space="preserve">a(X|Y) = </t>
  </si>
  <si>
    <t>x=180</t>
  </si>
  <si>
    <t>x=194</t>
  </si>
  <si>
    <t>x=210</t>
  </si>
  <si>
    <t>Kg.</t>
  </si>
  <si>
    <t>Media</t>
  </si>
  <si>
    <t>Varianza</t>
  </si>
  <si>
    <t>Desv.</t>
  </si>
  <si>
    <t>X=Peso</t>
  </si>
  <si>
    <t>Y=Estatura</t>
  </si>
  <si>
    <t>Var. Exp</t>
  </si>
  <si>
    <t>Var. Res</t>
  </si>
  <si>
    <t>R2=r2</t>
  </si>
  <si>
    <t>R^2</t>
  </si>
  <si>
    <t>Lluvia</t>
  </si>
  <si>
    <t>a)</t>
  </si>
  <si>
    <t>Hay relación</t>
  </si>
  <si>
    <t>Relación directa</t>
  </si>
  <si>
    <t>Relación lineal</t>
  </si>
  <si>
    <t>No mucha relación</t>
  </si>
  <si>
    <t>En ambas variables la media es representativa pues los CV &gt; 0,2</t>
  </si>
  <si>
    <t>b)</t>
  </si>
  <si>
    <t>c)</t>
  </si>
  <si>
    <t>d)</t>
  </si>
  <si>
    <t>e)</t>
  </si>
  <si>
    <t>f)</t>
  </si>
  <si>
    <t>g)</t>
  </si>
  <si>
    <t>PESO sobre ESTATURA</t>
  </si>
  <si>
    <t xml:space="preserve">ESTATURA sobre PESO </t>
  </si>
  <si>
    <r>
      <t xml:space="preserve">El parámetro </t>
    </r>
    <r>
      <rPr>
        <b/>
        <sz val="11"/>
        <color rgb="FF000000"/>
        <rFont val="Microsoft New Tai Lue"/>
        <family val="2"/>
      </rPr>
      <t>a</t>
    </r>
    <r>
      <rPr>
        <sz val="11"/>
        <color rgb="FF000000"/>
        <rFont val="Microsoft New Tai Lue"/>
        <family val="2"/>
      </rPr>
      <t xml:space="preserve"> NO tiene interpretación en este caso</t>
    </r>
  </si>
  <si>
    <t xml:space="preserve">Valores </t>
  </si>
  <si>
    <r>
      <t xml:space="preserve">Para valores X = 194 o X = 180 que están en el rango de valores de X, la predicción </t>
    </r>
    <r>
      <rPr>
        <b/>
        <sz val="11"/>
        <color rgb="FF000000"/>
        <rFont val="Microsoft New Tai Lue"/>
        <family val="2"/>
      </rPr>
      <t>SÍ</t>
    </r>
    <r>
      <rPr>
        <sz val="11"/>
        <color rgb="FF000000"/>
        <rFont val="Microsoft New Tai Lue"/>
        <family val="2"/>
      </rPr>
      <t xml:space="preserve"> es fiable</t>
    </r>
  </si>
  <si>
    <r>
      <t xml:space="preserve">Para el valor X = 210 es una extrapolación, de modo que aunque el ajuste sea bueno, la predicción </t>
    </r>
    <r>
      <rPr>
        <b/>
        <sz val="11"/>
        <color rgb="FF000000"/>
        <rFont val="Microsoft New Tai Lue"/>
        <family val="2"/>
      </rPr>
      <t>NO</t>
    </r>
    <r>
      <rPr>
        <sz val="11"/>
        <color rgb="FF000000"/>
        <rFont val="Microsoft New Tai Lue"/>
        <family val="2"/>
      </rPr>
      <t xml:space="preserve"> es fiable</t>
    </r>
  </si>
  <si>
    <r>
      <t>X = Cantidad de lluvia caída el mes anterior (Dl/m</t>
    </r>
    <r>
      <rPr>
        <b/>
        <vertAlign val="superscript"/>
        <sz val="11"/>
        <rFont val="Microsoft Tai Le"/>
        <family val="2"/>
      </rPr>
      <t>2</t>
    </r>
    <r>
      <rPr>
        <b/>
        <sz val="11"/>
        <rFont val="Microsoft Tai Le"/>
        <family val="2"/>
      </rPr>
      <t>)</t>
    </r>
  </si>
  <si>
    <r>
      <t>Y = Producción de sandías (en Kg/m</t>
    </r>
    <r>
      <rPr>
        <b/>
        <vertAlign val="superscript"/>
        <sz val="11"/>
        <rFont val="Microsoft Tai Le"/>
        <family val="2"/>
      </rPr>
      <t>2</t>
    </r>
    <r>
      <rPr>
        <b/>
        <sz val="11"/>
        <rFont val="Microsoft Tai Le"/>
        <family val="2"/>
      </rPr>
      <t>)</t>
    </r>
  </si>
  <si>
    <r>
      <t>Dl/m</t>
    </r>
    <r>
      <rPr>
        <vertAlign val="superscript"/>
        <sz val="11"/>
        <rFont val="Microsoft Tai Le"/>
        <family val="2"/>
      </rPr>
      <t>2</t>
    </r>
  </si>
  <si>
    <r>
      <t>Kg/m</t>
    </r>
    <r>
      <rPr>
        <vertAlign val="superscript"/>
        <sz val="11"/>
        <rFont val="Microsoft Tai Le"/>
        <family val="2"/>
      </rPr>
      <t>2</t>
    </r>
  </si>
  <si>
    <t>Y = a + bX</t>
  </si>
  <si>
    <t>Y = 27,125 + 1,6597 X</t>
  </si>
  <si>
    <r>
      <t>Representa el nº de Kg/m</t>
    </r>
    <r>
      <rPr>
        <vertAlign val="superscript"/>
        <sz val="11"/>
        <rFont val="Microsoft Tai Le"/>
        <family val="2"/>
      </rPr>
      <t>2</t>
    </r>
    <r>
      <rPr>
        <sz val="11"/>
        <rFont val="Microsoft Tai Le"/>
        <family val="2"/>
      </rPr>
      <t xml:space="preserve"> en los que se incrementa la producción de sandías si la cantidad de lluvia se incrementa en 1 Dl/m</t>
    </r>
    <r>
      <rPr>
        <vertAlign val="superscript"/>
        <sz val="11"/>
        <rFont val="Microsoft Tai Le"/>
        <family val="2"/>
      </rPr>
      <t>2</t>
    </r>
    <r>
      <rPr>
        <sz val="11"/>
        <rFont val="Microsoft Tai Le"/>
        <family val="2"/>
      </rPr>
      <t>.</t>
    </r>
  </si>
  <si>
    <r>
      <t>Son los Kg/m</t>
    </r>
    <r>
      <rPr>
        <vertAlign val="superscript"/>
        <sz val="11"/>
        <rFont val="Microsoft Tai Le"/>
        <family val="2"/>
      </rPr>
      <t>2</t>
    </r>
    <r>
      <rPr>
        <sz val="11"/>
        <rFont val="Microsoft Tai Le"/>
        <family val="2"/>
      </rPr>
      <t xml:space="preserve"> de sandía producidos si no ha llovido en el mes anterior.</t>
    </r>
  </si>
  <si>
    <r>
      <t>El ajuste es bueno porque r</t>
    </r>
    <r>
      <rPr>
        <vertAlign val="superscript"/>
        <sz val="11"/>
        <rFont val="Microsoft Tai Le"/>
        <family val="2"/>
      </rPr>
      <t>2</t>
    </r>
    <r>
      <rPr>
        <sz val="11"/>
        <rFont val="Microsoft Tai Le"/>
        <family val="2"/>
      </rPr>
      <t xml:space="preserve"> es alto, la varianza residual es pequeña y el gráfico de residuos no muestra ningún patrón.</t>
    </r>
  </si>
  <si>
    <r>
      <t>Kg por m</t>
    </r>
    <r>
      <rPr>
        <vertAlign val="superscript"/>
        <sz val="11"/>
        <rFont val="Microsoft Tai Le"/>
        <family val="2"/>
      </rPr>
      <t>2</t>
    </r>
  </si>
  <si>
    <t>MAX(X) =</t>
  </si>
  <si>
    <t>MIN(X) =</t>
  </si>
  <si>
    <t xml:space="preserve">a) Recta de regresión </t>
  </si>
  <si>
    <t>b) Bondad del ajuste</t>
  </si>
  <si>
    <t>c) Predicción</t>
  </si>
  <si>
    <t>Millones de euros de incremento en los beneficios por cada millón de euros adicional gastado en publicidad.</t>
  </si>
  <si>
    <r>
      <t>r</t>
    </r>
    <r>
      <rPr>
        <vertAlign val="superscript"/>
        <sz val="12"/>
        <rFont val="Microsoft Tai Le"/>
        <family val="2"/>
      </rPr>
      <t>2</t>
    </r>
  </si>
  <si>
    <r>
      <t>El ajuste es bueno porque el r</t>
    </r>
    <r>
      <rPr>
        <vertAlign val="superscript"/>
        <sz val="12"/>
        <rFont val="Microsoft Tai Le"/>
        <family val="2"/>
      </rPr>
      <t>2</t>
    </r>
    <r>
      <rPr>
        <sz val="12"/>
        <rFont val="Microsoft Tai Le"/>
        <family val="2"/>
      </rPr>
      <t xml:space="preserve"> es cercano a 1</t>
    </r>
  </si>
  <si>
    <t>Valor de X = 15 millones de euros</t>
  </si>
  <si>
    <t>a) Recta de regresión</t>
  </si>
  <si>
    <t>b) Bondad del ajuste lineal</t>
  </si>
  <si>
    <t>Ingresos cuando los gastos de producción son nulos (X = 0)</t>
  </si>
  <si>
    <r>
      <t>El ajuste lineal no es bueno, porque aunque el r</t>
    </r>
    <r>
      <rPr>
        <vertAlign val="superscript"/>
        <sz val="12"/>
        <rFont val="Microsoft Tai Le"/>
        <family val="2"/>
      </rPr>
      <t>2</t>
    </r>
    <r>
      <rPr>
        <sz val="12"/>
        <rFont val="Microsoft Tai Le"/>
        <family val="2"/>
      </rPr>
      <t xml:space="preserve"> no es muy bajo, el gráfico de residuos muestra un claro patrón (V invertida)</t>
    </r>
  </si>
  <si>
    <r>
      <t xml:space="preserve">Edad media en una ciudad con 0 habitantes. </t>
    </r>
    <r>
      <rPr>
        <b/>
        <sz val="11"/>
        <rFont val="Microsoft Tai Le"/>
        <family val="2"/>
      </rPr>
      <t>NO</t>
    </r>
    <r>
      <rPr>
        <sz val="11"/>
        <rFont val="Microsoft Tai Le"/>
        <family val="2"/>
      </rPr>
      <t xml:space="preserve"> tiene sentido</t>
    </r>
  </si>
  <si>
    <t>Incremento en la edad media por cada millón de habitantes más</t>
  </si>
  <si>
    <r>
      <t>r</t>
    </r>
    <r>
      <rPr>
        <b/>
        <vertAlign val="superscript"/>
        <sz val="11"/>
        <color theme="3"/>
        <rFont val="Microsoft Tai Le"/>
        <family val="2"/>
      </rPr>
      <t>2</t>
    </r>
  </si>
  <si>
    <r>
      <t>La predicción no es fiable porque se trata de un ajuste muy malo (r</t>
    </r>
    <r>
      <rPr>
        <vertAlign val="superscript"/>
        <sz val="11"/>
        <rFont val="Microsoft Tai Le"/>
        <family val="2"/>
      </rPr>
      <t>2</t>
    </r>
    <r>
      <rPr>
        <sz val="11"/>
        <rFont val="Microsoft Tai Le"/>
        <family val="2"/>
      </rPr>
      <t xml:space="preserve"> muy bajo).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</si>
</sst>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000"/>
    <numFmt numFmtId="165" formatCode="0.000"/>
    <numFmt numFmtId="166" formatCode="0.0"/>
  </numFmts>
  <fonts count="2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Microsoft New Tai Lue"/>
      <family val="2"/>
    </font>
    <font>
      <b/>
      <sz val="11"/>
      <color rgb="FF000000"/>
      <name val="Microsoft New Tai Lue"/>
      <family val="2"/>
    </font>
    <font>
      <b/>
      <sz val="10"/>
      <color rgb="FF000000"/>
      <name val="Microsoft New Tai Lue"/>
      <family val="2"/>
    </font>
    <font>
      <sz val="10"/>
      <color rgb="FF000000"/>
      <name val="Microsoft New Tai Lue"/>
      <family val="2"/>
    </font>
    <font>
      <b/>
      <sz val="11"/>
      <color rgb="FFFF0000"/>
      <name val="Microsoft New Tai Lue"/>
      <family val="2"/>
    </font>
    <font>
      <b/>
      <sz val="11"/>
      <color rgb="FFFFFF00"/>
      <name val="Microsoft New Tai Lue"/>
      <family val="2"/>
    </font>
    <font>
      <b/>
      <sz val="11"/>
      <color theme="5" tint="-0.249977111117893"/>
      <name val="Microsoft New Tai Lue"/>
      <family val="2"/>
    </font>
    <font>
      <b/>
      <sz val="11"/>
      <name val="Microsoft Tai Le"/>
      <family val="2"/>
    </font>
    <font>
      <sz val="11"/>
      <name val="Microsoft Tai Le"/>
      <family val="2"/>
    </font>
    <font>
      <sz val="11"/>
      <color rgb="FFFF0000"/>
      <name val="Microsoft Tai Le"/>
      <family val="2"/>
    </font>
    <font>
      <sz val="11"/>
      <color theme="5" tint="-0.249977111117893"/>
      <name val="Microsoft Tai Le"/>
      <family val="2"/>
    </font>
    <font>
      <b/>
      <sz val="12"/>
      <name val="Microsoft Tai Le"/>
      <family val="2"/>
    </font>
    <font>
      <sz val="12"/>
      <name val="Microsoft Tai Le"/>
      <family val="2"/>
    </font>
    <font>
      <b/>
      <sz val="11"/>
      <color theme="3"/>
      <name val="Microsoft Tai Le"/>
      <family val="2"/>
    </font>
    <font>
      <b/>
      <vertAlign val="superscript"/>
      <sz val="11"/>
      <name val="Microsoft Tai Le"/>
      <family val="2"/>
    </font>
    <font>
      <vertAlign val="superscript"/>
      <sz val="11"/>
      <name val="Microsoft Tai Le"/>
      <family val="2"/>
    </font>
    <font>
      <b/>
      <sz val="11"/>
      <color rgb="FFFF0000"/>
      <name val="Microsoft Tai Le"/>
      <family val="2"/>
    </font>
    <font>
      <vertAlign val="superscript"/>
      <sz val="12"/>
      <name val="Microsoft Tai Le"/>
      <family val="2"/>
    </font>
    <font>
      <b/>
      <vertAlign val="superscript"/>
      <sz val="11"/>
      <color theme="3"/>
      <name val="Microsoft Tai Le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5" fillId="3" borderId="0" xfId="0" applyFont="1" applyFill="1"/>
    <xf numFmtId="2" fontId="4" fillId="3" borderId="0" xfId="0" applyNumberFormat="1" applyFont="1" applyFill="1"/>
    <xf numFmtId="0" fontId="4" fillId="3" borderId="0" xfId="0" applyFont="1" applyFill="1"/>
    <xf numFmtId="10" fontId="4" fillId="3" borderId="0" xfId="1" applyNumberFormat="1" applyFont="1" applyFill="1"/>
    <xf numFmtId="165" fontId="4" fillId="3" borderId="0" xfId="0" applyNumberFormat="1" applyFont="1" applyFill="1"/>
    <xf numFmtId="164" fontId="4" fillId="3" borderId="0" xfId="0" applyNumberFormat="1" applyFont="1" applyFill="1"/>
    <xf numFmtId="0" fontId="5" fillId="0" borderId="0" xfId="0" applyFont="1"/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164" fontId="4" fillId="3" borderId="1" xfId="0" applyNumberFormat="1" applyFont="1" applyFill="1" applyBorder="1"/>
    <xf numFmtId="2" fontId="4" fillId="3" borderId="1" xfId="0" applyNumberFormat="1" applyFont="1" applyFill="1" applyBorder="1"/>
    <xf numFmtId="10" fontId="5" fillId="3" borderId="0" xfId="1" applyNumberFormat="1" applyFont="1" applyFill="1"/>
    <xf numFmtId="165" fontId="5" fillId="3" borderId="1" xfId="0" applyNumberFormat="1" applyFont="1" applyFill="1" applyBorder="1"/>
    <xf numFmtId="0" fontId="4" fillId="3" borderId="1" xfId="0" applyFont="1" applyFill="1" applyBorder="1"/>
    <xf numFmtId="2" fontId="5" fillId="3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10" fontId="4" fillId="3" borderId="1" xfId="1" applyNumberFormat="1" applyFont="1" applyFill="1" applyBorder="1"/>
    <xf numFmtId="2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8" borderId="1" xfId="0" applyFont="1" applyFill="1" applyBorder="1"/>
    <xf numFmtId="2" fontId="4" fillId="8" borderId="1" xfId="0" applyNumberFormat="1" applyFont="1" applyFill="1" applyBorder="1" applyAlignment="1">
      <alignment horizontal="center" vertical="top"/>
    </xf>
    <xf numFmtId="2" fontId="4" fillId="8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2" fontId="9" fillId="8" borderId="1" xfId="0" applyNumberFormat="1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9" borderId="1" xfId="0" applyFont="1" applyFill="1" applyBorder="1" applyAlignment="1">
      <alignment horizontal="center"/>
    </xf>
    <xf numFmtId="10" fontId="10" fillId="9" borderId="1" xfId="1" applyNumberFormat="1" applyFont="1" applyFill="1" applyBorder="1" applyAlignment="1">
      <alignment horizontal="center"/>
    </xf>
    <xf numFmtId="2" fontId="4" fillId="0" borderId="0" xfId="0" applyNumberFormat="1" applyFont="1"/>
    <xf numFmtId="0" fontId="5" fillId="7" borderId="1" xfId="0" applyFont="1" applyFill="1" applyBorder="1" applyAlignment="1">
      <alignment horizontal="center"/>
    </xf>
    <xf numFmtId="0" fontId="11" fillId="0" borderId="0" xfId="2" applyFont="1"/>
    <xf numFmtId="0" fontId="12" fillId="0" borderId="0" xfId="2" applyFont="1"/>
    <xf numFmtId="0" fontId="12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4" fillId="0" borderId="0" xfId="2" applyFont="1"/>
    <xf numFmtId="2" fontId="11" fillId="7" borderId="1" xfId="2" applyNumberFormat="1" applyFont="1" applyFill="1" applyBorder="1" applyAlignment="1">
      <alignment horizontal="center"/>
    </xf>
    <xf numFmtId="0" fontId="14" fillId="0" borderId="15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2" fontId="14" fillId="0" borderId="5" xfId="2" applyNumberFormat="1" applyFont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6" fillId="0" borderId="0" xfId="2" applyFont="1"/>
    <xf numFmtId="0" fontId="15" fillId="10" borderId="2" xfId="2" applyFont="1" applyFill="1" applyBorder="1" applyAlignment="1">
      <alignment horizontal="center" vertical="center"/>
    </xf>
    <xf numFmtId="0" fontId="15" fillId="10" borderId="3" xfId="2" applyFont="1" applyFill="1" applyBorder="1" applyAlignment="1">
      <alignment horizontal="center" vertical="center" wrapText="1"/>
    </xf>
    <xf numFmtId="0" fontId="15" fillId="10" borderId="3" xfId="2" applyFont="1" applyFill="1" applyBorder="1" applyAlignment="1">
      <alignment horizontal="center" vertical="center"/>
    </xf>
    <xf numFmtId="0" fontId="16" fillId="7" borderId="5" xfId="2" applyFont="1" applyFill="1" applyBorder="1" applyAlignment="1">
      <alignment horizontal="center"/>
    </xf>
    <xf numFmtId="0" fontId="16" fillId="7" borderId="6" xfId="2" applyFont="1" applyFill="1" applyBorder="1" applyAlignment="1">
      <alignment horizontal="center" vertical="top" wrapText="1"/>
    </xf>
    <xf numFmtId="0" fontId="16" fillId="7" borderId="12" xfId="2" applyFont="1" applyFill="1" applyBorder="1" applyAlignment="1">
      <alignment horizontal="center"/>
    </xf>
    <xf numFmtId="0" fontId="16" fillId="7" borderId="11" xfId="2" applyFont="1" applyFill="1" applyBorder="1" applyAlignment="1">
      <alignment horizontal="center" vertical="top" wrapText="1"/>
    </xf>
    <xf numFmtId="0" fontId="16" fillId="0" borderId="0" xfId="2" applyFont="1" applyAlignment="1">
      <alignment horizontal="center"/>
    </xf>
    <xf numFmtId="2" fontId="16" fillId="0" borderId="15" xfId="2" applyNumberFormat="1" applyFont="1" applyBorder="1" applyAlignment="1">
      <alignment horizontal="center"/>
    </xf>
    <xf numFmtId="2" fontId="16" fillId="0" borderId="6" xfId="2" applyNumberFormat="1" applyFont="1" applyBorder="1" applyAlignment="1">
      <alignment horizontal="center"/>
    </xf>
    <xf numFmtId="2" fontId="16" fillId="0" borderId="5" xfId="2" applyNumberFormat="1" applyFont="1" applyBorder="1" applyAlignment="1">
      <alignment horizontal="center"/>
    </xf>
    <xf numFmtId="2" fontId="16" fillId="0" borderId="12" xfId="2" applyNumberFormat="1" applyFont="1" applyBorder="1" applyAlignment="1">
      <alignment horizontal="center"/>
    </xf>
    <xf numFmtId="2" fontId="16" fillId="0" borderId="11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2" fontId="16" fillId="0" borderId="2" xfId="2" applyNumberFormat="1" applyFont="1" applyBorder="1" applyAlignment="1">
      <alignment horizontal="center"/>
    </xf>
    <xf numFmtId="0" fontId="16" fillId="4" borderId="8" xfId="2" applyFont="1" applyFill="1" applyBorder="1"/>
    <xf numFmtId="164" fontId="15" fillId="4" borderId="13" xfId="2" applyNumberFormat="1" applyFont="1" applyFill="1" applyBorder="1"/>
    <xf numFmtId="0" fontId="16" fillId="4" borderId="9" xfId="2" applyFont="1" applyFill="1" applyBorder="1"/>
    <xf numFmtId="0" fontId="16" fillId="4" borderId="10" xfId="2" applyFont="1" applyFill="1" applyBorder="1"/>
    <xf numFmtId="0" fontId="16" fillId="4" borderId="11" xfId="2" applyFont="1" applyFill="1" applyBorder="1"/>
    <xf numFmtId="0" fontId="16" fillId="4" borderId="13" xfId="2" applyFont="1" applyFill="1" applyBorder="1" applyAlignment="1">
      <alignment horizontal="right"/>
    </xf>
    <xf numFmtId="164" fontId="16" fillId="4" borderId="9" xfId="2" applyNumberFormat="1" applyFont="1" applyFill="1" applyBorder="1"/>
    <xf numFmtId="10" fontId="16" fillId="4" borderId="11" xfId="1" applyNumberFormat="1" applyFont="1" applyFill="1" applyBorder="1"/>
    <xf numFmtId="2" fontId="16" fillId="4" borderId="4" xfId="2" applyNumberFormat="1" applyFont="1" applyFill="1" applyBorder="1"/>
    <xf numFmtId="0" fontId="16" fillId="4" borderId="16" xfId="2" applyFont="1" applyFill="1" applyBorder="1"/>
    <xf numFmtId="0" fontId="16" fillId="4" borderId="3" xfId="2" applyFont="1" applyFill="1" applyBorder="1"/>
    <xf numFmtId="0" fontId="15" fillId="6" borderId="1" xfId="2" applyFont="1" applyFill="1" applyBorder="1" applyAlignment="1">
      <alignment horizontal="center" vertical="top" wrapText="1"/>
    </xf>
    <xf numFmtId="0" fontId="15" fillId="7" borderId="1" xfId="2" applyFont="1" applyFill="1" applyBorder="1" applyAlignment="1">
      <alignment horizontal="center" vertical="top" wrapText="1"/>
    </xf>
    <xf numFmtId="0" fontId="16" fillId="6" borderId="1" xfId="2" applyFont="1" applyFill="1" applyBorder="1" applyAlignment="1">
      <alignment horizontal="center" vertical="top" wrapText="1"/>
    </xf>
    <xf numFmtId="165" fontId="16" fillId="7" borderId="1" xfId="2" applyNumberFormat="1" applyFont="1" applyFill="1" applyBorder="1"/>
    <xf numFmtId="164" fontId="16" fillId="0" borderId="0" xfId="2" applyNumberFormat="1" applyFont="1"/>
    <xf numFmtId="10" fontId="16" fillId="0" borderId="0" xfId="1" applyNumberFormat="1" applyFont="1"/>
    <xf numFmtId="0" fontId="11" fillId="6" borderId="1" xfId="2" applyFont="1" applyFill="1" applyBorder="1" applyAlignment="1">
      <alignment horizontal="center"/>
    </xf>
    <xf numFmtId="0" fontId="12" fillId="6" borderId="1" xfId="2" applyFont="1" applyFill="1" applyBorder="1" applyAlignment="1">
      <alignment horizontal="center"/>
    </xf>
    <xf numFmtId="164" fontId="12" fillId="0" borderId="0" xfId="2" applyNumberFormat="1" applyFont="1"/>
    <xf numFmtId="166" fontId="12" fillId="0" borderId="0" xfId="2" applyNumberFormat="1" applyFont="1" applyAlignment="1">
      <alignment horizontal="center"/>
    </xf>
    <xf numFmtId="0" fontId="17" fillId="0" borderId="0" xfId="2" applyFont="1"/>
    <xf numFmtId="10" fontId="13" fillId="0" borderId="12" xfId="1" applyNumberFormat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11" borderId="12" xfId="2" applyFont="1" applyFill="1" applyBorder="1" applyAlignment="1">
      <alignment horizontal="center" vertical="top" wrapText="1"/>
    </xf>
    <xf numFmtId="0" fontId="12" fillId="11" borderId="2" xfId="2" applyFont="1" applyFill="1" applyBorder="1" applyAlignment="1">
      <alignment horizontal="center" vertical="top" wrapText="1"/>
    </xf>
    <xf numFmtId="0" fontId="12" fillId="0" borderId="15" xfId="2" applyFont="1" applyBorder="1" applyAlignment="1">
      <alignment horizontal="center"/>
    </xf>
    <xf numFmtId="0" fontId="11" fillId="0" borderId="0" xfId="2" applyFont="1" applyAlignment="1">
      <alignment horizontal="right"/>
    </xf>
    <xf numFmtId="0" fontId="11" fillId="7" borderId="8" xfId="2" applyFont="1" applyFill="1" applyBorder="1" applyAlignment="1">
      <alignment horizontal="center"/>
    </xf>
    <xf numFmtId="0" fontId="11" fillId="7" borderId="7" xfId="2" applyFont="1" applyFill="1" applyBorder="1" applyAlignment="1">
      <alignment horizontal="center"/>
    </xf>
    <xf numFmtId="0" fontId="11" fillId="7" borderId="10" xfId="2" applyFont="1" applyFill="1" applyBorder="1" applyAlignment="1">
      <alignment horizontal="center"/>
    </xf>
    <xf numFmtId="0" fontId="11" fillId="7" borderId="2" xfId="2" applyFont="1" applyFill="1" applyBorder="1" applyAlignment="1">
      <alignment horizontal="center" vertical="top" wrapText="1"/>
    </xf>
    <xf numFmtId="0" fontId="11" fillId="7" borderId="3" xfId="2" applyFont="1" applyFill="1" applyBorder="1" applyAlignment="1">
      <alignment horizontal="center"/>
    </xf>
    <xf numFmtId="2" fontId="11" fillId="7" borderId="8" xfId="2" applyNumberFormat="1" applyFont="1" applyFill="1" applyBorder="1" applyAlignment="1">
      <alignment horizontal="center"/>
    </xf>
    <xf numFmtId="2" fontId="11" fillId="7" borderId="7" xfId="2" applyNumberFormat="1" applyFont="1" applyFill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8" fillId="0" borderId="0" xfId="0" applyFont="1"/>
    <xf numFmtId="2" fontId="11" fillId="7" borderId="0" xfId="2" applyNumberFormat="1" applyFont="1" applyFill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2" fontId="14" fillId="0" borderId="1" xfId="2" applyNumberFormat="1" applyFont="1" applyBorder="1" applyAlignment="1">
      <alignment horizontal="center"/>
    </xf>
    <xf numFmtId="1" fontId="14" fillId="0" borderId="1" xfId="2" applyNumberFormat="1" applyFont="1" applyBorder="1" applyAlignment="1">
      <alignment horizontal="center"/>
    </xf>
    <xf numFmtId="0" fontId="16" fillId="0" borderId="4" xfId="2" applyFont="1" applyBorder="1"/>
    <xf numFmtId="0" fontId="16" fillId="0" borderId="16" xfId="2" applyFont="1" applyBorder="1"/>
    <xf numFmtId="0" fontId="16" fillId="0" borderId="3" xfId="2" applyFont="1" applyBorder="1"/>
    <xf numFmtId="0" fontId="16" fillId="0" borderId="8" xfId="2" applyFont="1" applyBorder="1" applyAlignment="1">
      <alignment horizontal="center" wrapText="1"/>
    </xf>
    <xf numFmtId="0" fontId="16" fillId="0" borderId="13" xfId="2" applyFont="1" applyBorder="1" applyAlignment="1">
      <alignment horizontal="center" wrapText="1"/>
    </xf>
    <xf numFmtId="0" fontId="16" fillId="0" borderId="9" xfId="2" applyFont="1" applyBorder="1" applyAlignment="1">
      <alignment horizontal="center" wrapText="1"/>
    </xf>
    <xf numFmtId="0" fontId="16" fillId="0" borderId="10" xfId="2" applyFont="1" applyBorder="1" applyAlignment="1">
      <alignment horizontal="center" wrapText="1"/>
    </xf>
    <xf numFmtId="0" fontId="16" fillId="0" borderId="14" xfId="2" applyFont="1" applyBorder="1" applyAlignment="1">
      <alignment horizontal="center" wrapText="1"/>
    </xf>
    <xf numFmtId="0" fontId="16" fillId="0" borderId="11" xfId="2" applyFont="1" applyBorder="1" applyAlignment="1">
      <alignment horizontal="center" wrapText="1"/>
    </xf>
    <xf numFmtId="164" fontId="15" fillId="4" borderId="14" xfId="2" applyNumberFormat="1" applyFont="1" applyFill="1" applyBorder="1"/>
    <xf numFmtId="0" fontId="16" fillId="4" borderId="4" xfId="2" applyFont="1" applyFill="1" applyBorder="1"/>
    <xf numFmtId="0" fontId="15" fillId="4" borderId="16" xfId="2" applyFont="1" applyFill="1" applyBorder="1"/>
    <xf numFmtId="0" fontId="16" fillId="0" borderId="8" xfId="2" applyFont="1" applyBorder="1"/>
    <xf numFmtId="0" fontId="16" fillId="0" borderId="13" xfId="2" applyFont="1" applyBorder="1"/>
    <xf numFmtId="0" fontId="16" fillId="0" borderId="9" xfId="2" applyFont="1" applyBorder="1"/>
    <xf numFmtId="0" fontId="16" fillId="0" borderId="10" xfId="2" applyFont="1" applyBorder="1"/>
    <xf numFmtId="0" fontId="16" fillId="0" borderId="14" xfId="2" applyFont="1" applyBorder="1"/>
    <xf numFmtId="0" fontId="16" fillId="0" borderId="11" xfId="2" applyFont="1" applyBorder="1"/>
    <xf numFmtId="0" fontId="16" fillId="4" borderId="14" xfId="2" applyFont="1" applyFill="1" applyBorder="1" applyAlignment="1">
      <alignment horizontal="center"/>
    </xf>
    <xf numFmtId="0" fontId="16" fillId="4" borderId="10" xfId="2" applyFont="1" applyFill="1" applyBorder="1" applyAlignment="1">
      <alignment horizontal="center"/>
    </xf>
    <xf numFmtId="0" fontId="1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</cellXfs>
  <cellStyles count="4">
    <cellStyle name="Euro" xfId="3"/>
    <cellStyle name="Normal" xfId="0" builtinId="0"/>
    <cellStyle name="Normal 2" xfId="2"/>
    <cellStyle name="Porcentaje" xfId="1" builtinId="5"/>
  </cellStyles>
  <dxfs count="0"/>
  <tableStyles count="0" defaultTableStyle="TableStyleMedium9"/>
  <colors>
    <mruColors>
      <color rgb="FFFFFFCC"/>
      <color rgb="FFFFFF99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Estatura-peso de los estudiantes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trendline>
            <c:spPr>
              <a:ln w="22225" cap="rnd">
                <a:solidFill>
                  <a:schemeClr val="accent2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969304246805214"/>
                  <c:y val="-0.10659269522139855"/>
                </c:manualLayout>
              </c:layout>
              <c:numFmt formatCode="General" sourceLinked="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'Estatura-Peso'!$B$4:$B$140</c:f>
              <c:numCache>
                <c:formatCode>General</c:formatCode>
                <c:ptCount val="137"/>
                <c:pt idx="0">
                  <c:v>162</c:v>
                </c:pt>
                <c:pt idx="1">
                  <c:v>182</c:v>
                </c:pt>
                <c:pt idx="2">
                  <c:v>185</c:v>
                </c:pt>
                <c:pt idx="3">
                  <c:v>170</c:v>
                </c:pt>
                <c:pt idx="4">
                  <c:v>172</c:v>
                </c:pt>
                <c:pt idx="5">
                  <c:v>159</c:v>
                </c:pt>
                <c:pt idx="6">
                  <c:v>182</c:v>
                </c:pt>
                <c:pt idx="7">
                  <c:v>160</c:v>
                </c:pt>
                <c:pt idx="8">
                  <c:v>182</c:v>
                </c:pt>
                <c:pt idx="9">
                  <c:v>180</c:v>
                </c:pt>
                <c:pt idx="10">
                  <c:v>178</c:v>
                </c:pt>
                <c:pt idx="11">
                  <c:v>163</c:v>
                </c:pt>
                <c:pt idx="12">
                  <c:v>173</c:v>
                </c:pt>
                <c:pt idx="13">
                  <c:v>160</c:v>
                </c:pt>
                <c:pt idx="14">
                  <c:v>184</c:v>
                </c:pt>
                <c:pt idx="15">
                  <c:v>162</c:v>
                </c:pt>
                <c:pt idx="16">
                  <c:v>165</c:v>
                </c:pt>
                <c:pt idx="17">
                  <c:v>165</c:v>
                </c:pt>
                <c:pt idx="18">
                  <c:v>172</c:v>
                </c:pt>
                <c:pt idx="19">
                  <c:v>173</c:v>
                </c:pt>
                <c:pt idx="20">
                  <c:v>167</c:v>
                </c:pt>
                <c:pt idx="21">
                  <c:v>174</c:v>
                </c:pt>
                <c:pt idx="22">
                  <c:v>173</c:v>
                </c:pt>
                <c:pt idx="23">
                  <c:v>171</c:v>
                </c:pt>
                <c:pt idx="24">
                  <c:v>177</c:v>
                </c:pt>
                <c:pt idx="25">
                  <c:v>170</c:v>
                </c:pt>
                <c:pt idx="26">
                  <c:v>163.5</c:v>
                </c:pt>
                <c:pt idx="27">
                  <c:v>150</c:v>
                </c:pt>
                <c:pt idx="28">
                  <c:v>175</c:v>
                </c:pt>
                <c:pt idx="29">
                  <c:v>180</c:v>
                </c:pt>
                <c:pt idx="30">
                  <c:v>172</c:v>
                </c:pt>
                <c:pt idx="31">
                  <c:v>185</c:v>
                </c:pt>
                <c:pt idx="32">
                  <c:v>167</c:v>
                </c:pt>
                <c:pt idx="33">
                  <c:v>165</c:v>
                </c:pt>
                <c:pt idx="34">
                  <c:v>165</c:v>
                </c:pt>
                <c:pt idx="35">
                  <c:v>163</c:v>
                </c:pt>
                <c:pt idx="36">
                  <c:v>183</c:v>
                </c:pt>
                <c:pt idx="37">
                  <c:v>165</c:v>
                </c:pt>
                <c:pt idx="38">
                  <c:v>180</c:v>
                </c:pt>
                <c:pt idx="39">
                  <c:v>171</c:v>
                </c:pt>
                <c:pt idx="40">
                  <c:v>165</c:v>
                </c:pt>
                <c:pt idx="41">
                  <c:v>186</c:v>
                </c:pt>
                <c:pt idx="42">
                  <c:v>187</c:v>
                </c:pt>
                <c:pt idx="43">
                  <c:v>175</c:v>
                </c:pt>
                <c:pt idx="44">
                  <c:v>180</c:v>
                </c:pt>
                <c:pt idx="45">
                  <c:v>180</c:v>
                </c:pt>
                <c:pt idx="46">
                  <c:v>168</c:v>
                </c:pt>
                <c:pt idx="47">
                  <c:v>190</c:v>
                </c:pt>
                <c:pt idx="48">
                  <c:v>187</c:v>
                </c:pt>
                <c:pt idx="49">
                  <c:v>169</c:v>
                </c:pt>
                <c:pt idx="50">
                  <c:v>175</c:v>
                </c:pt>
                <c:pt idx="51">
                  <c:v>165</c:v>
                </c:pt>
                <c:pt idx="52">
                  <c:v>176</c:v>
                </c:pt>
                <c:pt idx="53">
                  <c:v>178</c:v>
                </c:pt>
                <c:pt idx="54">
                  <c:v>165</c:v>
                </c:pt>
                <c:pt idx="55">
                  <c:v>174</c:v>
                </c:pt>
                <c:pt idx="56">
                  <c:v>175</c:v>
                </c:pt>
                <c:pt idx="57">
                  <c:v>158</c:v>
                </c:pt>
                <c:pt idx="58">
                  <c:v>175</c:v>
                </c:pt>
                <c:pt idx="59">
                  <c:v>190</c:v>
                </c:pt>
                <c:pt idx="60">
                  <c:v>178</c:v>
                </c:pt>
                <c:pt idx="61">
                  <c:v>166</c:v>
                </c:pt>
                <c:pt idx="62">
                  <c:v>180</c:v>
                </c:pt>
                <c:pt idx="63">
                  <c:v>189</c:v>
                </c:pt>
                <c:pt idx="64">
                  <c:v>190</c:v>
                </c:pt>
                <c:pt idx="65">
                  <c:v>168</c:v>
                </c:pt>
                <c:pt idx="66">
                  <c:v>180</c:v>
                </c:pt>
                <c:pt idx="67">
                  <c:v>182</c:v>
                </c:pt>
                <c:pt idx="68">
                  <c:v>180</c:v>
                </c:pt>
                <c:pt idx="69">
                  <c:v>175</c:v>
                </c:pt>
                <c:pt idx="70">
                  <c:v>183</c:v>
                </c:pt>
                <c:pt idx="71">
                  <c:v>180</c:v>
                </c:pt>
                <c:pt idx="72">
                  <c:v>175</c:v>
                </c:pt>
                <c:pt idx="73">
                  <c:v>180</c:v>
                </c:pt>
                <c:pt idx="74">
                  <c:v>175</c:v>
                </c:pt>
                <c:pt idx="75">
                  <c:v>180</c:v>
                </c:pt>
                <c:pt idx="76">
                  <c:v>180</c:v>
                </c:pt>
                <c:pt idx="77">
                  <c:v>162</c:v>
                </c:pt>
                <c:pt idx="78">
                  <c:v>186</c:v>
                </c:pt>
                <c:pt idx="79">
                  <c:v>168</c:v>
                </c:pt>
                <c:pt idx="80">
                  <c:v>181</c:v>
                </c:pt>
                <c:pt idx="81">
                  <c:v>158</c:v>
                </c:pt>
                <c:pt idx="82">
                  <c:v>178</c:v>
                </c:pt>
                <c:pt idx="83">
                  <c:v>175</c:v>
                </c:pt>
                <c:pt idx="84">
                  <c:v>162</c:v>
                </c:pt>
                <c:pt idx="85">
                  <c:v>158</c:v>
                </c:pt>
                <c:pt idx="86">
                  <c:v>176</c:v>
                </c:pt>
                <c:pt idx="87">
                  <c:v>172</c:v>
                </c:pt>
                <c:pt idx="88">
                  <c:v>180</c:v>
                </c:pt>
                <c:pt idx="89">
                  <c:v>171</c:v>
                </c:pt>
                <c:pt idx="90">
                  <c:v>165</c:v>
                </c:pt>
                <c:pt idx="91">
                  <c:v>182</c:v>
                </c:pt>
                <c:pt idx="92">
                  <c:v>165</c:v>
                </c:pt>
                <c:pt idx="93">
                  <c:v>165</c:v>
                </c:pt>
                <c:pt idx="94">
                  <c:v>185</c:v>
                </c:pt>
                <c:pt idx="95">
                  <c:v>165</c:v>
                </c:pt>
                <c:pt idx="96">
                  <c:v>173</c:v>
                </c:pt>
                <c:pt idx="97">
                  <c:v>170</c:v>
                </c:pt>
                <c:pt idx="98">
                  <c:v>189</c:v>
                </c:pt>
                <c:pt idx="99">
                  <c:v>170</c:v>
                </c:pt>
                <c:pt idx="100">
                  <c:v>185</c:v>
                </c:pt>
                <c:pt idx="101">
                  <c:v>165</c:v>
                </c:pt>
                <c:pt idx="102">
                  <c:v>189</c:v>
                </c:pt>
                <c:pt idx="103">
                  <c:v>180</c:v>
                </c:pt>
                <c:pt idx="104">
                  <c:v>192</c:v>
                </c:pt>
                <c:pt idx="105">
                  <c:v>193</c:v>
                </c:pt>
                <c:pt idx="106">
                  <c:v>165</c:v>
                </c:pt>
                <c:pt idx="107">
                  <c:v>170</c:v>
                </c:pt>
                <c:pt idx="108">
                  <c:v>167</c:v>
                </c:pt>
                <c:pt idx="109">
                  <c:v>170</c:v>
                </c:pt>
                <c:pt idx="110">
                  <c:v>168</c:v>
                </c:pt>
                <c:pt idx="111">
                  <c:v>169</c:v>
                </c:pt>
                <c:pt idx="112">
                  <c:v>170</c:v>
                </c:pt>
                <c:pt idx="113">
                  <c:v>176</c:v>
                </c:pt>
                <c:pt idx="114">
                  <c:v>173</c:v>
                </c:pt>
                <c:pt idx="115">
                  <c:v>163</c:v>
                </c:pt>
                <c:pt idx="116">
                  <c:v>162</c:v>
                </c:pt>
                <c:pt idx="117">
                  <c:v>150</c:v>
                </c:pt>
                <c:pt idx="118">
                  <c:v>175</c:v>
                </c:pt>
                <c:pt idx="119">
                  <c:v>183</c:v>
                </c:pt>
                <c:pt idx="120">
                  <c:v>167</c:v>
                </c:pt>
                <c:pt idx="121">
                  <c:v>170</c:v>
                </c:pt>
                <c:pt idx="122">
                  <c:v>181</c:v>
                </c:pt>
                <c:pt idx="123">
                  <c:v>169</c:v>
                </c:pt>
                <c:pt idx="124">
                  <c:v>172</c:v>
                </c:pt>
                <c:pt idx="125">
                  <c:v>160</c:v>
                </c:pt>
                <c:pt idx="126">
                  <c:v>173</c:v>
                </c:pt>
                <c:pt idx="127">
                  <c:v>182</c:v>
                </c:pt>
                <c:pt idx="128">
                  <c:v>168</c:v>
                </c:pt>
                <c:pt idx="129">
                  <c:v>163</c:v>
                </c:pt>
                <c:pt idx="130">
                  <c:v>160</c:v>
                </c:pt>
                <c:pt idx="131">
                  <c:v>180</c:v>
                </c:pt>
                <c:pt idx="132">
                  <c:v>177</c:v>
                </c:pt>
                <c:pt idx="133">
                  <c:v>174</c:v>
                </c:pt>
                <c:pt idx="134">
                  <c:v>160</c:v>
                </c:pt>
                <c:pt idx="135">
                  <c:v>160</c:v>
                </c:pt>
                <c:pt idx="136">
                  <c:v>190</c:v>
                </c:pt>
              </c:numCache>
            </c:numRef>
          </c:xVal>
          <c:yVal>
            <c:numRef>
              <c:f>'Estatura-Peso'!$C$4:$C$140</c:f>
              <c:numCache>
                <c:formatCode>General</c:formatCode>
                <c:ptCount val="137"/>
                <c:pt idx="0">
                  <c:v>52.5</c:v>
                </c:pt>
                <c:pt idx="1">
                  <c:v>76</c:v>
                </c:pt>
                <c:pt idx="2">
                  <c:v>84</c:v>
                </c:pt>
                <c:pt idx="3">
                  <c:v>60</c:v>
                </c:pt>
                <c:pt idx="4">
                  <c:v>72</c:v>
                </c:pt>
                <c:pt idx="5">
                  <c:v>51</c:v>
                </c:pt>
                <c:pt idx="6">
                  <c:v>76</c:v>
                </c:pt>
                <c:pt idx="7">
                  <c:v>50</c:v>
                </c:pt>
                <c:pt idx="8">
                  <c:v>65</c:v>
                </c:pt>
                <c:pt idx="9">
                  <c:v>71</c:v>
                </c:pt>
                <c:pt idx="10">
                  <c:v>76</c:v>
                </c:pt>
                <c:pt idx="11">
                  <c:v>50</c:v>
                </c:pt>
                <c:pt idx="12">
                  <c:v>69</c:v>
                </c:pt>
                <c:pt idx="13">
                  <c:v>50</c:v>
                </c:pt>
                <c:pt idx="14">
                  <c:v>68</c:v>
                </c:pt>
                <c:pt idx="15">
                  <c:v>57</c:v>
                </c:pt>
                <c:pt idx="16">
                  <c:v>56</c:v>
                </c:pt>
                <c:pt idx="17">
                  <c:v>50</c:v>
                </c:pt>
                <c:pt idx="18">
                  <c:v>60</c:v>
                </c:pt>
                <c:pt idx="19">
                  <c:v>59</c:v>
                </c:pt>
                <c:pt idx="20">
                  <c:v>61</c:v>
                </c:pt>
                <c:pt idx="21">
                  <c:v>59.8</c:v>
                </c:pt>
                <c:pt idx="22">
                  <c:v>73</c:v>
                </c:pt>
                <c:pt idx="23">
                  <c:v>66</c:v>
                </c:pt>
                <c:pt idx="24">
                  <c:v>65</c:v>
                </c:pt>
                <c:pt idx="25">
                  <c:v>59</c:v>
                </c:pt>
                <c:pt idx="26">
                  <c:v>42.5</c:v>
                </c:pt>
                <c:pt idx="27">
                  <c:v>45</c:v>
                </c:pt>
                <c:pt idx="28">
                  <c:v>65</c:v>
                </c:pt>
                <c:pt idx="29">
                  <c:v>70</c:v>
                </c:pt>
                <c:pt idx="30">
                  <c:v>67</c:v>
                </c:pt>
                <c:pt idx="31">
                  <c:v>85</c:v>
                </c:pt>
                <c:pt idx="32">
                  <c:v>48</c:v>
                </c:pt>
                <c:pt idx="33">
                  <c:v>57</c:v>
                </c:pt>
                <c:pt idx="34">
                  <c:v>58</c:v>
                </c:pt>
                <c:pt idx="35">
                  <c:v>58</c:v>
                </c:pt>
                <c:pt idx="36">
                  <c:v>78</c:v>
                </c:pt>
                <c:pt idx="37">
                  <c:v>50</c:v>
                </c:pt>
                <c:pt idx="38">
                  <c:v>71</c:v>
                </c:pt>
                <c:pt idx="39">
                  <c:v>70</c:v>
                </c:pt>
                <c:pt idx="40">
                  <c:v>60</c:v>
                </c:pt>
                <c:pt idx="41">
                  <c:v>71</c:v>
                </c:pt>
                <c:pt idx="42">
                  <c:v>82</c:v>
                </c:pt>
                <c:pt idx="43">
                  <c:v>70</c:v>
                </c:pt>
                <c:pt idx="44">
                  <c:v>71</c:v>
                </c:pt>
                <c:pt idx="45">
                  <c:v>70</c:v>
                </c:pt>
                <c:pt idx="46">
                  <c:v>65</c:v>
                </c:pt>
                <c:pt idx="47">
                  <c:v>75</c:v>
                </c:pt>
                <c:pt idx="48">
                  <c:v>70</c:v>
                </c:pt>
                <c:pt idx="49">
                  <c:v>72</c:v>
                </c:pt>
                <c:pt idx="50">
                  <c:v>73</c:v>
                </c:pt>
                <c:pt idx="51">
                  <c:v>75</c:v>
                </c:pt>
                <c:pt idx="52">
                  <c:v>90</c:v>
                </c:pt>
                <c:pt idx="53">
                  <c:v>67.5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45</c:v>
                </c:pt>
                <c:pt idx="58">
                  <c:v>80</c:v>
                </c:pt>
                <c:pt idx="59">
                  <c:v>80</c:v>
                </c:pt>
                <c:pt idx="60">
                  <c:v>72</c:v>
                </c:pt>
                <c:pt idx="61">
                  <c:v>62</c:v>
                </c:pt>
                <c:pt idx="62">
                  <c:v>82</c:v>
                </c:pt>
                <c:pt idx="63">
                  <c:v>85</c:v>
                </c:pt>
                <c:pt idx="64">
                  <c:v>75</c:v>
                </c:pt>
                <c:pt idx="65">
                  <c:v>61</c:v>
                </c:pt>
                <c:pt idx="66">
                  <c:v>85</c:v>
                </c:pt>
                <c:pt idx="67">
                  <c:v>80</c:v>
                </c:pt>
                <c:pt idx="68">
                  <c:v>85</c:v>
                </c:pt>
                <c:pt idx="69">
                  <c:v>62</c:v>
                </c:pt>
                <c:pt idx="70">
                  <c:v>80</c:v>
                </c:pt>
                <c:pt idx="71">
                  <c:v>85</c:v>
                </c:pt>
                <c:pt idx="72">
                  <c:v>75</c:v>
                </c:pt>
                <c:pt idx="73">
                  <c:v>72</c:v>
                </c:pt>
                <c:pt idx="74">
                  <c:v>68</c:v>
                </c:pt>
                <c:pt idx="75">
                  <c:v>72</c:v>
                </c:pt>
                <c:pt idx="76">
                  <c:v>70</c:v>
                </c:pt>
                <c:pt idx="77">
                  <c:v>56</c:v>
                </c:pt>
                <c:pt idx="78">
                  <c:v>90</c:v>
                </c:pt>
                <c:pt idx="79">
                  <c:v>55</c:v>
                </c:pt>
                <c:pt idx="80">
                  <c:v>75</c:v>
                </c:pt>
                <c:pt idx="81">
                  <c:v>60</c:v>
                </c:pt>
                <c:pt idx="82">
                  <c:v>70</c:v>
                </c:pt>
                <c:pt idx="83">
                  <c:v>72</c:v>
                </c:pt>
                <c:pt idx="84">
                  <c:v>44</c:v>
                </c:pt>
                <c:pt idx="85">
                  <c:v>51</c:v>
                </c:pt>
                <c:pt idx="86">
                  <c:v>60</c:v>
                </c:pt>
                <c:pt idx="87">
                  <c:v>63</c:v>
                </c:pt>
                <c:pt idx="88">
                  <c:v>63</c:v>
                </c:pt>
                <c:pt idx="89">
                  <c:v>62</c:v>
                </c:pt>
                <c:pt idx="90">
                  <c:v>54</c:v>
                </c:pt>
                <c:pt idx="91">
                  <c:v>65</c:v>
                </c:pt>
                <c:pt idx="92">
                  <c:v>65</c:v>
                </c:pt>
                <c:pt idx="93">
                  <c:v>57</c:v>
                </c:pt>
                <c:pt idx="94">
                  <c:v>57</c:v>
                </c:pt>
                <c:pt idx="95">
                  <c:v>50</c:v>
                </c:pt>
                <c:pt idx="96">
                  <c:v>67</c:v>
                </c:pt>
                <c:pt idx="97">
                  <c:v>72</c:v>
                </c:pt>
                <c:pt idx="98">
                  <c:v>79</c:v>
                </c:pt>
                <c:pt idx="99">
                  <c:v>64</c:v>
                </c:pt>
                <c:pt idx="100">
                  <c:v>95</c:v>
                </c:pt>
                <c:pt idx="101">
                  <c:v>58</c:v>
                </c:pt>
                <c:pt idx="102">
                  <c:v>83</c:v>
                </c:pt>
                <c:pt idx="103">
                  <c:v>75</c:v>
                </c:pt>
                <c:pt idx="104">
                  <c:v>83</c:v>
                </c:pt>
                <c:pt idx="105">
                  <c:v>85</c:v>
                </c:pt>
                <c:pt idx="106">
                  <c:v>56</c:v>
                </c:pt>
                <c:pt idx="107">
                  <c:v>60</c:v>
                </c:pt>
                <c:pt idx="108">
                  <c:v>59</c:v>
                </c:pt>
                <c:pt idx="109">
                  <c:v>90</c:v>
                </c:pt>
                <c:pt idx="110">
                  <c:v>58</c:v>
                </c:pt>
                <c:pt idx="111">
                  <c:v>51</c:v>
                </c:pt>
                <c:pt idx="112">
                  <c:v>70</c:v>
                </c:pt>
                <c:pt idx="113">
                  <c:v>75</c:v>
                </c:pt>
                <c:pt idx="114">
                  <c:v>67</c:v>
                </c:pt>
                <c:pt idx="115">
                  <c:v>45</c:v>
                </c:pt>
                <c:pt idx="116">
                  <c:v>47</c:v>
                </c:pt>
                <c:pt idx="117">
                  <c:v>50</c:v>
                </c:pt>
                <c:pt idx="118">
                  <c:v>72</c:v>
                </c:pt>
                <c:pt idx="119">
                  <c:v>65</c:v>
                </c:pt>
                <c:pt idx="120">
                  <c:v>65</c:v>
                </c:pt>
                <c:pt idx="121">
                  <c:v>58</c:v>
                </c:pt>
                <c:pt idx="122">
                  <c:v>78</c:v>
                </c:pt>
                <c:pt idx="123">
                  <c:v>57</c:v>
                </c:pt>
                <c:pt idx="124">
                  <c:v>52</c:v>
                </c:pt>
                <c:pt idx="125">
                  <c:v>48</c:v>
                </c:pt>
                <c:pt idx="126">
                  <c:v>62</c:v>
                </c:pt>
                <c:pt idx="127">
                  <c:v>64</c:v>
                </c:pt>
                <c:pt idx="128">
                  <c:v>58</c:v>
                </c:pt>
                <c:pt idx="129">
                  <c:v>62</c:v>
                </c:pt>
                <c:pt idx="130">
                  <c:v>53</c:v>
                </c:pt>
                <c:pt idx="131">
                  <c:v>75</c:v>
                </c:pt>
                <c:pt idx="132">
                  <c:v>80</c:v>
                </c:pt>
                <c:pt idx="133">
                  <c:v>80</c:v>
                </c:pt>
                <c:pt idx="134">
                  <c:v>50</c:v>
                </c:pt>
                <c:pt idx="135">
                  <c:v>52</c:v>
                </c:pt>
                <c:pt idx="136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EF-40EB-96D2-040ECEF3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52320"/>
        <c:axId val="75352896"/>
      </c:scatterChart>
      <c:valAx>
        <c:axId val="75352320"/>
        <c:scaling>
          <c:orientation val="minMax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Estatura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352896"/>
        <c:crosses val="autoZero"/>
        <c:crossBetween val="midCat"/>
      </c:valAx>
      <c:valAx>
        <c:axId val="7535289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Peso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352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Población!$D$13</c:f>
              <c:strCache>
                <c:ptCount val="1"/>
                <c:pt idx="0">
                  <c:v>Edad media (en años)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8864041994750659"/>
                  <c:y val="-3.87115492311533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Población!$C$14:$C$23</c:f>
              <c:numCache>
                <c:formatCode>General</c:formatCode>
                <c:ptCount val="10"/>
                <c:pt idx="0">
                  <c:v>2.8330000000000002</c:v>
                </c:pt>
                <c:pt idx="1">
                  <c:v>1.2330000000000001</c:v>
                </c:pt>
                <c:pt idx="2">
                  <c:v>2.1440000000000001</c:v>
                </c:pt>
                <c:pt idx="3">
                  <c:v>3.8490000000000002</c:v>
                </c:pt>
                <c:pt idx="4">
                  <c:v>8.2140000000000004</c:v>
                </c:pt>
                <c:pt idx="5">
                  <c:v>1.448</c:v>
                </c:pt>
                <c:pt idx="6">
                  <c:v>1.5129999999999999</c:v>
                </c:pt>
                <c:pt idx="7">
                  <c:v>1.2969999999999999</c:v>
                </c:pt>
                <c:pt idx="8">
                  <c:v>1.2569999999999999</c:v>
                </c:pt>
                <c:pt idx="9">
                  <c:v>0.93</c:v>
                </c:pt>
              </c:numCache>
            </c:numRef>
          </c:xVal>
          <c:yVal>
            <c:numRef>
              <c:f>Población!$D$14:$D$23</c:f>
              <c:numCache>
                <c:formatCode>General</c:formatCode>
                <c:ptCount val="10"/>
                <c:pt idx="0">
                  <c:v>31.5</c:v>
                </c:pt>
                <c:pt idx="1">
                  <c:v>30.5</c:v>
                </c:pt>
                <c:pt idx="2">
                  <c:v>30.9</c:v>
                </c:pt>
                <c:pt idx="3">
                  <c:v>31.6</c:v>
                </c:pt>
                <c:pt idx="4">
                  <c:v>34.200000000000003</c:v>
                </c:pt>
                <c:pt idx="5">
                  <c:v>34.299999999999997</c:v>
                </c:pt>
                <c:pt idx="6">
                  <c:v>30.7</c:v>
                </c:pt>
                <c:pt idx="7">
                  <c:v>31.7</c:v>
                </c:pt>
                <c:pt idx="8">
                  <c:v>32.5</c:v>
                </c:pt>
                <c:pt idx="9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9F-4124-8DBA-C846E23E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44960"/>
        <c:axId val="132945536"/>
      </c:scatterChart>
      <c:valAx>
        <c:axId val="13294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Población (en millones de habitantes)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945536"/>
        <c:crosses val="autoZero"/>
        <c:crossBetween val="midCat"/>
      </c:valAx>
      <c:valAx>
        <c:axId val="13294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Edad media </a:t>
                </a:r>
              </a:p>
              <a:p>
                <a:pPr>
                  <a:defRPr/>
                </a:pPr>
                <a:r>
                  <a:rPr lang="en-US"/>
                  <a:t>(en 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94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residuos (ajuste lineal)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'Estatura-Peso'!$E$3</c:f>
              <c:strCache>
                <c:ptCount val="1"/>
                <c:pt idx="0">
                  <c:v>e (Residuos)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'Estatura-Peso'!$D$4:$D$140</c:f>
              <c:numCache>
                <c:formatCode>0.00</c:formatCode>
                <c:ptCount val="137"/>
                <c:pt idx="0">
                  <c:v>54.972975427322922</c:v>
                </c:pt>
                <c:pt idx="1">
                  <c:v>75.018534665784813</c:v>
                </c:pt>
                <c:pt idx="2">
                  <c:v>78.025368551554095</c:v>
                </c:pt>
                <c:pt idx="3">
                  <c:v>62.991199122707684</c:v>
                </c:pt>
                <c:pt idx="4">
                  <c:v>64.995755046553882</c:v>
                </c:pt>
                <c:pt idx="5">
                  <c:v>51.96614154155364</c:v>
                </c:pt>
                <c:pt idx="6">
                  <c:v>75.018534665784813</c:v>
                </c:pt>
                <c:pt idx="7">
                  <c:v>52.968419503476753</c:v>
                </c:pt>
                <c:pt idx="8">
                  <c:v>75.018534665784813</c:v>
                </c:pt>
                <c:pt idx="9">
                  <c:v>73.013978741938644</c:v>
                </c:pt>
                <c:pt idx="10">
                  <c:v>71.009422818092446</c:v>
                </c:pt>
                <c:pt idx="11">
                  <c:v>55.975253389246035</c:v>
                </c:pt>
                <c:pt idx="12">
                  <c:v>65.998033008476966</c:v>
                </c:pt>
                <c:pt idx="13">
                  <c:v>52.968419503476753</c:v>
                </c:pt>
                <c:pt idx="14">
                  <c:v>77.023090589631011</c:v>
                </c:pt>
                <c:pt idx="15">
                  <c:v>54.972975427322922</c:v>
                </c:pt>
                <c:pt idx="16">
                  <c:v>57.979809313092204</c:v>
                </c:pt>
                <c:pt idx="17">
                  <c:v>57.979809313092204</c:v>
                </c:pt>
                <c:pt idx="18">
                  <c:v>64.995755046553882</c:v>
                </c:pt>
                <c:pt idx="19">
                  <c:v>65.998033008476966</c:v>
                </c:pt>
                <c:pt idx="20">
                  <c:v>59.984365236938402</c:v>
                </c:pt>
                <c:pt idx="21">
                  <c:v>67.000310970400079</c:v>
                </c:pt>
                <c:pt idx="22">
                  <c:v>65.998033008476966</c:v>
                </c:pt>
                <c:pt idx="23">
                  <c:v>63.993477084630769</c:v>
                </c:pt>
                <c:pt idx="24">
                  <c:v>70.007144856169361</c:v>
                </c:pt>
                <c:pt idx="25">
                  <c:v>62.991199122707684</c:v>
                </c:pt>
                <c:pt idx="26">
                  <c:v>56.476392370207577</c:v>
                </c:pt>
                <c:pt idx="27">
                  <c:v>42.945639884245793</c:v>
                </c:pt>
                <c:pt idx="28">
                  <c:v>68.002588932323164</c:v>
                </c:pt>
                <c:pt idx="29">
                  <c:v>73.013978741938644</c:v>
                </c:pt>
                <c:pt idx="30">
                  <c:v>64.995755046553882</c:v>
                </c:pt>
                <c:pt idx="31">
                  <c:v>78.025368551554095</c:v>
                </c:pt>
                <c:pt idx="32">
                  <c:v>59.984365236938402</c:v>
                </c:pt>
                <c:pt idx="33">
                  <c:v>57.979809313092204</c:v>
                </c:pt>
                <c:pt idx="34">
                  <c:v>57.979809313092204</c:v>
                </c:pt>
                <c:pt idx="35">
                  <c:v>55.975253389246035</c:v>
                </c:pt>
                <c:pt idx="36">
                  <c:v>76.020812627707926</c:v>
                </c:pt>
                <c:pt idx="37">
                  <c:v>57.979809313092204</c:v>
                </c:pt>
                <c:pt idx="38">
                  <c:v>73.013978741938644</c:v>
                </c:pt>
                <c:pt idx="39">
                  <c:v>63.993477084630769</c:v>
                </c:pt>
                <c:pt idx="40">
                  <c:v>57.979809313092204</c:v>
                </c:pt>
                <c:pt idx="41">
                  <c:v>79.027646513477208</c:v>
                </c:pt>
                <c:pt idx="42">
                  <c:v>80.029924475400293</c:v>
                </c:pt>
                <c:pt idx="43">
                  <c:v>68.002588932323164</c:v>
                </c:pt>
                <c:pt idx="44">
                  <c:v>73.013978741938644</c:v>
                </c:pt>
                <c:pt idx="45">
                  <c:v>73.013978741938644</c:v>
                </c:pt>
                <c:pt idx="46">
                  <c:v>60.986643198861486</c:v>
                </c:pt>
                <c:pt idx="47">
                  <c:v>83.036758361169575</c:v>
                </c:pt>
                <c:pt idx="48">
                  <c:v>80.029924475400293</c:v>
                </c:pt>
                <c:pt idx="49">
                  <c:v>61.988921160784599</c:v>
                </c:pt>
                <c:pt idx="50">
                  <c:v>68.002588932323164</c:v>
                </c:pt>
                <c:pt idx="51">
                  <c:v>57.979809313092204</c:v>
                </c:pt>
                <c:pt idx="52">
                  <c:v>69.004866894246248</c:v>
                </c:pt>
                <c:pt idx="53">
                  <c:v>71.009422818092446</c:v>
                </c:pt>
                <c:pt idx="54">
                  <c:v>57.979809313092204</c:v>
                </c:pt>
                <c:pt idx="55">
                  <c:v>67.000310970400079</c:v>
                </c:pt>
                <c:pt idx="56">
                  <c:v>68.002588932323164</c:v>
                </c:pt>
                <c:pt idx="57">
                  <c:v>50.963863579630555</c:v>
                </c:pt>
                <c:pt idx="58">
                  <c:v>68.002588932323164</c:v>
                </c:pt>
                <c:pt idx="59">
                  <c:v>83.036758361169575</c:v>
                </c:pt>
                <c:pt idx="60">
                  <c:v>71.009422818092446</c:v>
                </c:pt>
                <c:pt idx="61">
                  <c:v>58.982087275015317</c:v>
                </c:pt>
                <c:pt idx="62">
                  <c:v>73.013978741938644</c:v>
                </c:pt>
                <c:pt idx="63">
                  <c:v>82.03448039924649</c:v>
                </c:pt>
                <c:pt idx="64">
                  <c:v>83.036758361169575</c:v>
                </c:pt>
                <c:pt idx="65">
                  <c:v>60.986643198861486</c:v>
                </c:pt>
                <c:pt idx="66">
                  <c:v>73.013978741938644</c:v>
                </c:pt>
                <c:pt idx="67">
                  <c:v>75.018534665784813</c:v>
                </c:pt>
                <c:pt idx="68">
                  <c:v>73.013978741938644</c:v>
                </c:pt>
                <c:pt idx="69">
                  <c:v>68.002588932323164</c:v>
                </c:pt>
                <c:pt idx="70">
                  <c:v>76.020812627707926</c:v>
                </c:pt>
                <c:pt idx="71">
                  <c:v>73.013978741938644</c:v>
                </c:pt>
                <c:pt idx="72">
                  <c:v>68.002588932323164</c:v>
                </c:pt>
                <c:pt idx="73">
                  <c:v>73.013978741938644</c:v>
                </c:pt>
                <c:pt idx="74">
                  <c:v>68.002588932323164</c:v>
                </c:pt>
                <c:pt idx="75">
                  <c:v>73.013978741938644</c:v>
                </c:pt>
                <c:pt idx="76">
                  <c:v>73.013978741938644</c:v>
                </c:pt>
                <c:pt idx="77">
                  <c:v>54.972975427322922</c:v>
                </c:pt>
                <c:pt idx="78">
                  <c:v>79.027646513477208</c:v>
                </c:pt>
                <c:pt idx="79">
                  <c:v>60.986643198861486</c:v>
                </c:pt>
                <c:pt idx="80">
                  <c:v>74.016256703861728</c:v>
                </c:pt>
                <c:pt idx="81">
                  <c:v>50.963863579630555</c:v>
                </c:pt>
                <c:pt idx="82">
                  <c:v>71.009422818092446</c:v>
                </c:pt>
                <c:pt idx="83">
                  <c:v>68.002588932323164</c:v>
                </c:pt>
                <c:pt idx="84">
                  <c:v>54.972975427322922</c:v>
                </c:pt>
                <c:pt idx="85">
                  <c:v>50.963863579630555</c:v>
                </c:pt>
                <c:pt idx="86">
                  <c:v>69.004866894246248</c:v>
                </c:pt>
                <c:pt idx="87">
                  <c:v>64.995755046553882</c:v>
                </c:pt>
                <c:pt idx="88">
                  <c:v>73.013978741938644</c:v>
                </c:pt>
                <c:pt idx="89">
                  <c:v>63.993477084630769</c:v>
                </c:pt>
                <c:pt idx="90">
                  <c:v>57.979809313092204</c:v>
                </c:pt>
                <c:pt idx="91">
                  <c:v>75.018534665784813</c:v>
                </c:pt>
                <c:pt idx="92">
                  <c:v>57.979809313092204</c:v>
                </c:pt>
                <c:pt idx="93">
                  <c:v>57.979809313092204</c:v>
                </c:pt>
                <c:pt idx="94">
                  <c:v>78.025368551554095</c:v>
                </c:pt>
                <c:pt idx="95">
                  <c:v>57.979809313092204</c:v>
                </c:pt>
                <c:pt idx="96">
                  <c:v>65.998033008476966</c:v>
                </c:pt>
                <c:pt idx="97">
                  <c:v>62.991199122707684</c:v>
                </c:pt>
                <c:pt idx="98">
                  <c:v>82.03448039924649</c:v>
                </c:pt>
                <c:pt idx="99">
                  <c:v>62.991199122707684</c:v>
                </c:pt>
                <c:pt idx="100">
                  <c:v>78.025368551554095</c:v>
                </c:pt>
                <c:pt idx="101">
                  <c:v>57.979809313092204</c:v>
                </c:pt>
                <c:pt idx="102">
                  <c:v>82.03448039924649</c:v>
                </c:pt>
                <c:pt idx="103">
                  <c:v>73.013978741938644</c:v>
                </c:pt>
                <c:pt idx="104">
                  <c:v>85.041314285015773</c:v>
                </c:pt>
                <c:pt idx="105">
                  <c:v>86.043592246938857</c:v>
                </c:pt>
                <c:pt idx="106">
                  <c:v>57.979809313092204</c:v>
                </c:pt>
                <c:pt idx="107">
                  <c:v>62.991199122707684</c:v>
                </c:pt>
                <c:pt idx="108">
                  <c:v>59.984365236938402</c:v>
                </c:pt>
                <c:pt idx="109">
                  <c:v>62.991199122707684</c:v>
                </c:pt>
                <c:pt idx="110">
                  <c:v>60.986643198861486</c:v>
                </c:pt>
                <c:pt idx="111">
                  <c:v>61.988921160784599</c:v>
                </c:pt>
                <c:pt idx="112">
                  <c:v>62.991199122707684</c:v>
                </c:pt>
                <c:pt idx="113">
                  <c:v>69.004866894246248</c:v>
                </c:pt>
                <c:pt idx="114">
                  <c:v>65.998033008476966</c:v>
                </c:pt>
                <c:pt idx="115">
                  <c:v>55.975253389246035</c:v>
                </c:pt>
                <c:pt idx="116">
                  <c:v>54.972975427322922</c:v>
                </c:pt>
                <c:pt idx="117">
                  <c:v>42.945639884245793</c:v>
                </c:pt>
                <c:pt idx="118">
                  <c:v>68.002588932323164</c:v>
                </c:pt>
                <c:pt idx="119">
                  <c:v>76.020812627707926</c:v>
                </c:pt>
                <c:pt idx="120">
                  <c:v>59.984365236938402</c:v>
                </c:pt>
                <c:pt idx="121">
                  <c:v>62.991199122707684</c:v>
                </c:pt>
                <c:pt idx="122">
                  <c:v>74.016256703861728</c:v>
                </c:pt>
                <c:pt idx="123">
                  <c:v>61.988921160784599</c:v>
                </c:pt>
                <c:pt idx="124">
                  <c:v>64.995755046553882</c:v>
                </c:pt>
                <c:pt idx="125">
                  <c:v>52.968419503476753</c:v>
                </c:pt>
                <c:pt idx="126">
                  <c:v>65.998033008476966</c:v>
                </c:pt>
                <c:pt idx="127">
                  <c:v>75.018534665784813</c:v>
                </c:pt>
                <c:pt idx="128">
                  <c:v>60.986643198861486</c:v>
                </c:pt>
                <c:pt idx="129">
                  <c:v>55.975253389246035</c:v>
                </c:pt>
                <c:pt idx="130">
                  <c:v>52.968419503476753</c:v>
                </c:pt>
                <c:pt idx="131">
                  <c:v>73.013978741938644</c:v>
                </c:pt>
                <c:pt idx="132">
                  <c:v>70.007144856169361</c:v>
                </c:pt>
                <c:pt idx="133">
                  <c:v>67.000310970400079</c:v>
                </c:pt>
                <c:pt idx="134">
                  <c:v>52.968419503476753</c:v>
                </c:pt>
                <c:pt idx="135">
                  <c:v>52.968419503476753</c:v>
                </c:pt>
                <c:pt idx="136">
                  <c:v>83.036758361169575</c:v>
                </c:pt>
              </c:numCache>
            </c:numRef>
          </c:xVal>
          <c:yVal>
            <c:numRef>
              <c:f>'Estatura-Peso'!$E$4:$E$140</c:f>
              <c:numCache>
                <c:formatCode>General</c:formatCode>
                <c:ptCount val="137"/>
                <c:pt idx="0">
                  <c:v>-2.4729754273229219</c:v>
                </c:pt>
                <c:pt idx="1">
                  <c:v>0.98146533421518711</c:v>
                </c:pt>
                <c:pt idx="2">
                  <c:v>5.9746314484459049</c:v>
                </c:pt>
                <c:pt idx="3">
                  <c:v>-2.991199122707684</c:v>
                </c:pt>
                <c:pt idx="4">
                  <c:v>7.0042449534461184</c:v>
                </c:pt>
                <c:pt idx="5">
                  <c:v>-0.96614154155363963</c:v>
                </c:pt>
                <c:pt idx="6">
                  <c:v>0.98146533421518711</c:v>
                </c:pt>
                <c:pt idx="7">
                  <c:v>-2.9684195034767527</c:v>
                </c:pt>
                <c:pt idx="8">
                  <c:v>-10.018534665784813</c:v>
                </c:pt>
                <c:pt idx="9">
                  <c:v>-2.0139787419386437</c:v>
                </c:pt>
                <c:pt idx="10">
                  <c:v>4.9905771819075539</c:v>
                </c:pt>
                <c:pt idx="11">
                  <c:v>-5.9752533892460349</c:v>
                </c:pt>
                <c:pt idx="12">
                  <c:v>3.0019669915230338</c:v>
                </c:pt>
                <c:pt idx="13">
                  <c:v>-2.9684195034767527</c:v>
                </c:pt>
                <c:pt idx="14">
                  <c:v>-9.0230905896310105</c:v>
                </c:pt>
                <c:pt idx="15">
                  <c:v>2.0270245726770781</c:v>
                </c:pt>
                <c:pt idx="16">
                  <c:v>-1.9798093130922041</c:v>
                </c:pt>
                <c:pt idx="17">
                  <c:v>-7.9798093130922041</c:v>
                </c:pt>
                <c:pt idx="18">
                  <c:v>-4.9957550465538816</c:v>
                </c:pt>
                <c:pt idx="19">
                  <c:v>-6.9980330084769662</c:v>
                </c:pt>
                <c:pt idx="20">
                  <c:v>1.0156347630615983</c:v>
                </c:pt>
                <c:pt idx="21">
                  <c:v>-7.2003109704000821</c:v>
                </c:pt>
                <c:pt idx="22">
                  <c:v>7.0019669915230338</c:v>
                </c:pt>
                <c:pt idx="23">
                  <c:v>2.0065229153692314</c:v>
                </c:pt>
                <c:pt idx="24">
                  <c:v>-5.0071448561693614</c:v>
                </c:pt>
                <c:pt idx="25">
                  <c:v>-3.991199122707684</c:v>
                </c:pt>
                <c:pt idx="26">
                  <c:v>-13.976392370207577</c:v>
                </c:pt>
                <c:pt idx="27">
                  <c:v>2.0543601157542071</c:v>
                </c:pt>
                <c:pt idx="28">
                  <c:v>-3.0025889323231638</c:v>
                </c:pt>
                <c:pt idx="29">
                  <c:v>-3.0139787419386437</c:v>
                </c:pt>
                <c:pt idx="30">
                  <c:v>2.0042449534461184</c:v>
                </c:pt>
                <c:pt idx="31">
                  <c:v>6.9746314484459049</c:v>
                </c:pt>
                <c:pt idx="32">
                  <c:v>-11.984365236938402</c:v>
                </c:pt>
                <c:pt idx="33">
                  <c:v>-0.97980931309220409</c:v>
                </c:pt>
                <c:pt idx="34">
                  <c:v>2.0190686907795907E-2</c:v>
                </c:pt>
                <c:pt idx="35">
                  <c:v>2.0247466107539651</c:v>
                </c:pt>
                <c:pt idx="36">
                  <c:v>1.9791873722920741</c:v>
                </c:pt>
                <c:pt idx="37">
                  <c:v>-7.9798093130922041</c:v>
                </c:pt>
                <c:pt idx="38">
                  <c:v>-2.0139787419386437</c:v>
                </c:pt>
                <c:pt idx="39">
                  <c:v>6.0065229153692314</c:v>
                </c:pt>
                <c:pt idx="40">
                  <c:v>2.0201906869077959</c:v>
                </c:pt>
                <c:pt idx="41">
                  <c:v>-8.0276465134772081</c:v>
                </c:pt>
                <c:pt idx="42">
                  <c:v>1.9700755245997073</c:v>
                </c:pt>
                <c:pt idx="43">
                  <c:v>1.9974110676768362</c:v>
                </c:pt>
                <c:pt idx="44">
                  <c:v>-2.0139787419386437</c:v>
                </c:pt>
                <c:pt idx="45">
                  <c:v>-3.0139787419386437</c:v>
                </c:pt>
                <c:pt idx="46">
                  <c:v>4.0133568011385137</c:v>
                </c:pt>
                <c:pt idx="47">
                  <c:v>-8.036758361169575</c:v>
                </c:pt>
                <c:pt idx="48">
                  <c:v>-10.029924475400293</c:v>
                </c:pt>
                <c:pt idx="49">
                  <c:v>10.011078839215401</c:v>
                </c:pt>
                <c:pt idx="50">
                  <c:v>4.9974110676768362</c:v>
                </c:pt>
                <c:pt idx="51">
                  <c:v>17.020190686907796</c:v>
                </c:pt>
                <c:pt idx="52">
                  <c:v>20.995133105753752</c:v>
                </c:pt>
                <c:pt idx="53">
                  <c:v>-3.5094228180924461</c:v>
                </c:pt>
                <c:pt idx="54">
                  <c:v>12.020190686907796</c:v>
                </c:pt>
                <c:pt idx="55">
                  <c:v>2.9996890295999208</c:v>
                </c:pt>
                <c:pt idx="56">
                  <c:v>1.9974110676768362</c:v>
                </c:pt>
                <c:pt idx="57">
                  <c:v>-5.963863579630555</c:v>
                </c:pt>
                <c:pt idx="58">
                  <c:v>11.997411067676836</c:v>
                </c:pt>
                <c:pt idx="59">
                  <c:v>-3.036758361169575</c:v>
                </c:pt>
                <c:pt idx="60">
                  <c:v>0.99057718190755395</c:v>
                </c:pt>
                <c:pt idx="61">
                  <c:v>3.0179127249846829</c:v>
                </c:pt>
                <c:pt idx="62">
                  <c:v>8.9860212580613563</c:v>
                </c:pt>
                <c:pt idx="63">
                  <c:v>2.9655196007535096</c:v>
                </c:pt>
                <c:pt idx="64">
                  <c:v>-8.036758361169575</c:v>
                </c:pt>
                <c:pt idx="65">
                  <c:v>1.3356801138513674E-2</c:v>
                </c:pt>
                <c:pt idx="66">
                  <c:v>11.986021258061356</c:v>
                </c:pt>
                <c:pt idx="67">
                  <c:v>4.9814653342151871</c:v>
                </c:pt>
                <c:pt idx="68">
                  <c:v>11.986021258061356</c:v>
                </c:pt>
                <c:pt idx="69">
                  <c:v>-6.0025889323231638</c:v>
                </c:pt>
                <c:pt idx="70">
                  <c:v>3.9791873722920741</c:v>
                </c:pt>
                <c:pt idx="71">
                  <c:v>11.986021258061356</c:v>
                </c:pt>
                <c:pt idx="72">
                  <c:v>6.9974110676768362</c:v>
                </c:pt>
                <c:pt idx="73">
                  <c:v>-1.0139787419386437</c:v>
                </c:pt>
                <c:pt idx="74">
                  <c:v>-2.5889323231638173E-3</c:v>
                </c:pt>
                <c:pt idx="75">
                  <c:v>-1.0139787419386437</c:v>
                </c:pt>
                <c:pt idx="76">
                  <c:v>-3.0139787419386437</c:v>
                </c:pt>
                <c:pt idx="77">
                  <c:v>1.0270245726770781</c:v>
                </c:pt>
                <c:pt idx="78">
                  <c:v>10.972353486522792</c:v>
                </c:pt>
                <c:pt idx="79">
                  <c:v>-5.9866431988614863</c:v>
                </c:pt>
                <c:pt idx="80">
                  <c:v>0.98374329613827172</c:v>
                </c:pt>
                <c:pt idx="81">
                  <c:v>9.036136420369445</c:v>
                </c:pt>
                <c:pt idx="82">
                  <c:v>-1.0094228180924461</c:v>
                </c:pt>
                <c:pt idx="83">
                  <c:v>3.9974110676768362</c:v>
                </c:pt>
                <c:pt idx="84">
                  <c:v>-10.972975427322922</c:v>
                </c:pt>
                <c:pt idx="85">
                  <c:v>3.6136420369444977E-2</c:v>
                </c:pt>
                <c:pt idx="86">
                  <c:v>-9.0048668942462484</c:v>
                </c:pt>
                <c:pt idx="87">
                  <c:v>-1.9957550465538816</c:v>
                </c:pt>
                <c:pt idx="88">
                  <c:v>-10.013978741938644</c:v>
                </c:pt>
                <c:pt idx="89">
                  <c:v>-1.9934770846307686</c:v>
                </c:pt>
                <c:pt idx="90">
                  <c:v>-3.9798093130922041</c:v>
                </c:pt>
                <c:pt idx="91">
                  <c:v>-10.018534665784813</c:v>
                </c:pt>
                <c:pt idx="92">
                  <c:v>7.0201906869077959</c:v>
                </c:pt>
                <c:pt idx="93">
                  <c:v>-0.97980931309220409</c:v>
                </c:pt>
                <c:pt idx="94">
                  <c:v>-21.025368551554095</c:v>
                </c:pt>
                <c:pt idx="95">
                  <c:v>-7.9798093130922041</c:v>
                </c:pt>
                <c:pt idx="96">
                  <c:v>1.0019669915230338</c:v>
                </c:pt>
                <c:pt idx="97">
                  <c:v>9.008800877292316</c:v>
                </c:pt>
                <c:pt idx="98">
                  <c:v>-3.0344803992464904</c:v>
                </c:pt>
                <c:pt idx="99">
                  <c:v>1.008800877292316</c:v>
                </c:pt>
                <c:pt idx="100">
                  <c:v>16.974631448445905</c:v>
                </c:pt>
                <c:pt idx="101">
                  <c:v>2.0190686907795907E-2</c:v>
                </c:pt>
                <c:pt idx="102">
                  <c:v>0.96551960075350962</c:v>
                </c:pt>
                <c:pt idx="103">
                  <c:v>1.9860212580613563</c:v>
                </c:pt>
                <c:pt idx="104">
                  <c:v>-2.0413142850157726</c:v>
                </c:pt>
                <c:pt idx="105">
                  <c:v>-1.0435922469388572</c:v>
                </c:pt>
                <c:pt idx="106">
                  <c:v>-1.9798093130922041</c:v>
                </c:pt>
                <c:pt idx="107">
                  <c:v>-2.991199122707684</c:v>
                </c:pt>
                <c:pt idx="108">
                  <c:v>-0.98436523693840172</c:v>
                </c:pt>
                <c:pt idx="109">
                  <c:v>27.008800877292316</c:v>
                </c:pt>
                <c:pt idx="110">
                  <c:v>-2.9866431988614863</c:v>
                </c:pt>
                <c:pt idx="111">
                  <c:v>-10.988921160784599</c:v>
                </c:pt>
                <c:pt idx="112">
                  <c:v>7.008800877292316</c:v>
                </c:pt>
                <c:pt idx="113">
                  <c:v>5.9951331057537516</c:v>
                </c:pt>
                <c:pt idx="114">
                  <c:v>1.0019669915230338</c:v>
                </c:pt>
                <c:pt idx="115">
                  <c:v>-10.975253389246035</c:v>
                </c:pt>
                <c:pt idx="116">
                  <c:v>-7.9729754273229219</c:v>
                </c:pt>
                <c:pt idx="117">
                  <c:v>7.0543601157542071</c:v>
                </c:pt>
                <c:pt idx="118">
                  <c:v>3.9974110676768362</c:v>
                </c:pt>
                <c:pt idx="119">
                  <c:v>-11.020812627707926</c:v>
                </c:pt>
                <c:pt idx="120">
                  <c:v>5.0156347630615983</c:v>
                </c:pt>
                <c:pt idx="121">
                  <c:v>-4.991199122707684</c:v>
                </c:pt>
                <c:pt idx="122">
                  <c:v>3.9837432961382717</c:v>
                </c:pt>
                <c:pt idx="123">
                  <c:v>-4.9889211607845994</c:v>
                </c:pt>
                <c:pt idx="124">
                  <c:v>-12.995755046553882</c:v>
                </c:pt>
                <c:pt idx="125">
                  <c:v>-4.9684195034767527</c:v>
                </c:pt>
                <c:pt idx="126">
                  <c:v>-3.9980330084769662</c:v>
                </c:pt>
                <c:pt idx="127">
                  <c:v>-11.018534665784813</c:v>
                </c:pt>
                <c:pt idx="128">
                  <c:v>-2.9866431988614863</c:v>
                </c:pt>
                <c:pt idx="129">
                  <c:v>6.0247466107539651</c:v>
                </c:pt>
                <c:pt idx="130">
                  <c:v>3.1580496523247348E-2</c:v>
                </c:pt>
                <c:pt idx="131">
                  <c:v>1.9860212580613563</c:v>
                </c:pt>
                <c:pt idx="132">
                  <c:v>9.9928551438306386</c:v>
                </c:pt>
                <c:pt idx="133">
                  <c:v>12.999689029599921</c:v>
                </c:pt>
                <c:pt idx="134">
                  <c:v>-2.9684195034767527</c:v>
                </c:pt>
                <c:pt idx="135">
                  <c:v>-0.96841950347675265</c:v>
                </c:pt>
                <c:pt idx="136">
                  <c:v>1.963241638830425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48-4F4A-AD58-E1BA676E1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56352"/>
        <c:axId val="75356928"/>
      </c:scatterChart>
      <c:valAx>
        <c:axId val="75356352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Y^ (peso en 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356928"/>
        <c:crosses val="autoZero"/>
        <c:crossBetween val="midCat"/>
      </c:valAx>
      <c:valAx>
        <c:axId val="753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o residuos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356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Diagrama de dispersión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Sandías!$B$5:$B$14</c:f>
              <c:numCache>
                <c:formatCode>General</c:formatCode>
                <c:ptCount val="10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32</c:v>
                </c:pt>
              </c:numCache>
            </c:numRef>
          </c:xVal>
          <c:yVal>
            <c:numRef>
              <c:f>Sandías!$C$5:$C$14</c:f>
              <c:numCache>
                <c:formatCode>General</c:formatCode>
                <c:ptCount val="10"/>
                <c:pt idx="0">
                  <c:v>40</c:v>
                </c:pt>
                <c:pt idx="1">
                  <c:v>44</c:v>
                </c:pt>
                <c:pt idx="2">
                  <c:v>46</c:v>
                </c:pt>
                <c:pt idx="3">
                  <c:v>48</c:v>
                </c:pt>
                <c:pt idx="4">
                  <c:v>52</c:v>
                </c:pt>
                <c:pt idx="5">
                  <c:v>58</c:v>
                </c:pt>
                <c:pt idx="6">
                  <c:v>60</c:v>
                </c:pt>
                <c:pt idx="7">
                  <c:v>68</c:v>
                </c:pt>
                <c:pt idx="8">
                  <c:v>74</c:v>
                </c:pt>
                <c:pt idx="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DD-4205-8184-3E97FE7DB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03936"/>
        <c:axId val="104104512"/>
      </c:scatterChart>
      <c:valAx>
        <c:axId val="10410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Cantidad de Lluvia (Dl/m^2)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104512"/>
        <c:crosses val="autoZero"/>
        <c:crossBetween val="midCat"/>
      </c:valAx>
      <c:valAx>
        <c:axId val="10410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Producción de Sandías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10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Recta de regresión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63500" cap="rnd" cmpd="sng" algn="ctr">
                <a:solidFill>
                  <a:schemeClr val="accent1"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0736916910656928"/>
                  <c:y val="1.4794846693111298E-3"/>
                </c:manualLayout>
              </c:layout>
              <c:numFmt formatCode="General" sourceLinked="0"/>
              <c:spPr>
                <a:solidFill>
                  <a:schemeClr val="tx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Sandías!$B$5:$B$14</c:f>
              <c:numCache>
                <c:formatCode>General</c:formatCode>
                <c:ptCount val="10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32</c:v>
                </c:pt>
              </c:numCache>
            </c:numRef>
          </c:xVal>
          <c:yVal>
            <c:numRef>
              <c:f>Sandías!$C$5:$C$14</c:f>
              <c:numCache>
                <c:formatCode>General</c:formatCode>
                <c:ptCount val="10"/>
                <c:pt idx="0">
                  <c:v>40</c:v>
                </c:pt>
                <c:pt idx="1">
                  <c:v>44</c:v>
                </c:pt>
                <c:pt idx="2">
                  <c:v>46</c:v>
                </c:pt>
                <c:pt idx="3">
                  <c:v>48</c:v>
                </c:pt>
                <c:pt idx="4">
                  <c:v>52</c:v>
                </c:pt>
                <c:pt idx="5">
                  <c:v>58</c:v>
                </c:pt>
                <c:pt idx="6">
                  <c:v>60</c:v>
                </c:pt>
                <c:pt idx="7">
                  <c:v>68</c:v>
                </c:pt>
                <c:pt idx="8">
                  <c:v>74</c:v>
                </c:pt>
                <c:pt idx="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1F-4717-9899-A1A07FD78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07392"/>
        <c:axId val="104109696"/>
      </c:scatterChart>
      <c:valAx>
        <c:axId val="10410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Cantidad de Lluvia (Dl/m^2)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109696"/>
        <c:crosses val="autoZero"/>
        <c:crossBetween val="midCat"/>
      </c:valAx>
      <c:valAx>
        <c:axId val="1041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Producción de Sandías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107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de residuos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Sandías!$E$4</c:f>
              <c:strCache>
                <c:ptCount val="1"/>
                <c:pt idx="0">
                  <c:v>ei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Sandías!$D$5:$D$14</c:f>
              <c:numCache>
                <c:formatCode>General</c:formatCode>
                <c:ptCount val="10"/>
                <c:pt idx="0">
                  <c:v>37.083333333333336</c:v>
                </c:pt>
                <c:pt idx="1">
                  <c:v>43.722222222222221</c:v>
                </c:pt>
                <c:pt idx="2">
                  <c:v>47.041666666666671</c:v>
                </c:pt>
                <c:pt idx="3">
                  <c:v>50.361111111111114</c:v>
                </c:pt>
                <c:pt idx="4">
                  <c:v>53.680555555555557</c:v>
                </c:pt>
                <c:pt idx="5">
                  <c:v>57</c:v>
                </c:pt>
                <c:pt idx="6">
                  <c:v>63.638888888888893</c:v>
                </c:pt>
                <c:pt idx="7">
                  <c:v>66.958333333333343</c:v>
                </c:pt>
                <c:pt idx="8">
                  <c:v>70.277777777777771</c:v>
                </c:pt>
                <c:pt idx="9">
                  <c:v>80.236111111111114</c:v>
                </c:pt>
              </c:numCache>
            </c:numRef>
          </c:xVal>
          <c:yVal>
            <c:numRef>
              <c:f>Sandías!$E$5:$E$14</c:f>
              <c:numCache>
                <c:formatCode>General</c:formatCode>
                <c:ptCount val="10"/>
                <c:pt idx="0">
                  <c:v>2.9166666666666643</c:v>
                </c:pt>
                <c:pt idx="1">
                  <c:v>0.27777777777777857</c:v>
                </c:pt>
                <c:pt idx="2">
                  <c:v>-1.0416666666666714</c:v>
                </c:pt>
                <c:pt idx="3">
                  <c:v>-2.3611111111111143</c:v>
                </c:pt>
                <c:pt idx="4">
                  <c:v>-1.6805555555555571</c:v>
                </c:pt>
                <c:pt idx="5">
                  <c:v>1</c:v>
                </c:pt>
                <c:pt idx="6">
                  <c:v>-3.6388888888888928</c:v>
                </c:pt>
                <c:pt idx="7">
                  <c:v>1.0416666666666572</c:v>
                </c:pt>
                <c:pt idx="8">
                  <c:v>3.7222222222222285</c:v>
                </c:pt>
                <c:pt idx="9">
                  <c:v>-0.23611111111111427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EB-4F39-ADCB-DD9BD879A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11424"/>
        <c:axId val="104701952"/>
      </c:scatterChart>
      <c:valAx>
        <c:axId val="10411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Producción de sandías estimada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701952"/>
        <c:crosses val="autoZero"/>
        <c:crossBetween val="midCat"/>
      </c:valAx>
      <c:valAx>
        <c:axId val="10470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Residuo o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111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Publicidad!$C$14:$C$23</c:f>
              <c:numCache>
                <c:formatCode>General</c:formatCode>
                <c:ptCount val="10"/>
                <c:pt idx="0">
                  <c:v>2</c:v>
                </c:pt>
                <c:pt idx="1">
                  <c:v>2.8</c:v>
                </c:pt>
                <c:pt idx="2">
                  <c:v>3.9</c:v>
                </c:pt>
                <c:pt idx="3">
                  <c:v>4.2</c:v>
                </c:pt>
                <c:pt idx="4">
                  <c:v>5.8</c:v>
                </c:pt>
                <c:pt idx="5">
                  <c:v>6.2</c:v>
                </c:pt>
                <c:pt idx="6">
                  <c:v>7.5</c:v>
                </c:pt>
                <c:pt idx="7">
                  <c:v>8.1999999999999993</c:v>
                </c:pt>
                <c:pt idx="8">
                  <c:v>9.3000000000000007</c:v>
                </c:pt>
                <c:pt idx="9">
                  <c:v>10.9</c:v>
                </c:pt>
              </c:numCache>
            </c:numRef>
          </c:xVal>
          <c:yVal>
            <c:numRef>
              <c:f>Publicidad!$D$14:$D$23</c:f>
              <c:numCache>
                <c:formatCode>General</c:formatCode>
                <c:ptCount val="10"/>
                <c:pt idx="0">
                  <c:v>-6</c:v>
                </c:pt>
                <c:pt idx="1">
                  <c:v>-3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36-4F19-B97C-EE4B6F23D51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727777704009598"/>
                  <c:y val="-9.178942722249809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/>
                      <a:t>y = 3,4497x - 12,874</a:t>
                    </a:r>
                    <a:br>
                      <a:rPr lang="en-US" b="1" baseline="0"/>
                    </a:br>
                    <a:r>
                      <a:rPr lang="en-US" b="1" baseline="0"/>
                      <a:t>R² = 0,9937</a:t>
                    </a:r>
                    <a:endParaRPr lang="en-US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Publicidad!$C$14:$C$23</c:f>
              <c:numCache>
                <c:formatCode>General</c:formatCode>
                <c:ptCount val="10"/>
                <c:pt idx="0">
                  <c:v>2</c:v>
                </c:pt>
                <c:pt idx="1">
                  <c:v>2.8</c:v>
                </c:pt>
                <c:pt idx="2">
                  <c:v>3.9</c:v>
                </c:pt>
                <c:pt idx="3">
                  <c:v>4.2</c:v>
                </c:pt>
                <c:pt idx="4">
                  <c:v>5.8</c:v>
                </c:pt>
                <c:pt idx="5">
                  <c:v>6.2</c:v>
                </c:pt>
                <c:pt idx="6">
                  <c:v>7.5</c:v>
                </c:pt>
                <c:pt idx="7">
                  <c:v>8.1999999999999993</c:v>
                </c:pt>
                <c:pt idx="8">
                  <c:v>9.3000000000000007</c:v>
                </c:pt>
                <c:pt idx="9">
                  <c:v>10.9</c:v>
                </c:pt>
              </c:numCache>
            </c:numRef>
          </c:xVal>
          <c:yVal>
            <c:numRef>
              <c:f>Publicidad!$D$14:$D$23</c:f>
              <c:numCache>
                <c:formatCode>General</c:formatCode>
                <c:ptCount val="10"/>
                <c:pt idx="0">
                  <c:v>-6</c:v>
                </c:pt>
                <c:pt idx="1">
                  <c:v>-3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36-4F19-B97C-EE4B6F23D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03680"/>
        <c:axId val="104704256"/>
      </c:scatterChart>
      <c:valAx>
        <c:axId val="10470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Gastos en publicidad (millones €)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704256"/>
        <c:crosses val="autoZero"/>
        <c:crossBetween val="midCat"/>
      </c:valAx>
      <c:valAx>
        <c:axId val="10470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Beneficios anuales (millones €)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70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de residuos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Publicidad!$E$14:$E$23</c:f>
              <c:numCache>
                <c:formatCode>0.00</c:formatCode>
                <c:ptCount val="10"/>
                <c:pt idx="0">
                  <c:v>-5.9748603351955252</c:v>
                </c:pt>
                <c:pt idx="1">
                  <c:v>-3.2150837988826773</c:v>
                </c:pt>
                <c:pt idx="2">
                  <c:v>0.57960893854748896</c:v>
                </c:pt>
                <c:pt idx="3">
                  <c:v>1.6145251396648082</c:v>
                </c:pt>
                <c:pt idx="4">
                  <c:v>7.1340782122905058</c:v>
                </c:pt>
                <c:pt idx="5">
                  <c:v>8.5139664804469302</c:v>
                </c:pt>
                <c:pt idx="6">
                  <c:v>12.998603351955309</c:v>
                </c:pt>
                <c:pt idx="7">
                  <c:v>15.413407821229049</c:v>
                </c:pt>
                <c:pt idx="8">
                  <c:v>19.208100558659218</c:v>
                </c:pt>
                <c:pt idx="9">
                  <c:v>24.727653631284916</c:v>
                </c:pt>
              </c:numCache>
            </c:numRef>
          </c:xVal>
          <c:yVal>
            <c:numRef>
              <c:f>Publicidad!$F$14:$F$23</c:f>
              <c:numCache>
                <c:formatCode>0.00</c:formatCode>
                <c:ptCount val="10"/>
                <c:pt idx="0">
                  <c:v>-2.5139664804474826E-2</c:v>
                </c:pt>
                <c:pt idx="1">
                  <c:v>0.21508379888267726</c:v>
                </c:pt>
                <c:pt idx="2">
                  <c:v>-0.57960893854748896</c:v>
                </c:pt>
                <c:pt idx="3">
                  <c:v>1.3854748603351918</c:v>
                </c:pt>
                <c:pt idx="4">
                  <c:v>-1.1340782122905058</c:v>
                </c:pt>
                <c:pt idx="5">
                  <c:v>0.48603351955306984</c:v>
                </c:pt>
                <c:pt idx="6">
                  <c:v>-0.99860335195530858</c:v>
                </c:pt>
                <c:pt idx="7">
                  <c:v>-0.41340782122904862</c:v>
                </c:pt>
                <c:pt idx="8">
                  <c:v>0.79189944134078161</c:v>
                </c:pt>
                <c:pt idx="9">
                  <c:v>0.272346368715084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36-4F19-B97C-EE4B6F23D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07136"/>
        <c:axId val="104708288"/>
      </c:scatterChart>
      <c:valAx>
        <c:axId val="10470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Beneficios estimados (y^)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708288"/>
        <c:crosses val="autoZero"/>
        <c:crossBetween val="midCat"/>
      </c:valAx>
      <c:valAx>
        <c:axId val="10470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Residuo o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70713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313408723748"/>
          <c:y val="0.16545031821481312"/>
          <c:w val="0.86268174474959614"/>
          <c:h val="0.66423436577417616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Producción_agrícola!$C$13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63500" cap="rnd" cmpd="sng" algn="ctr">
                <a:solidFill>
                  <a:schemeClr val="accent1"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774384219743129"/>
                  <c:y val="-8.9123528610802E-2"/>
                </c:manualLayout>
              </c:layout>
              <c:numFmt formatCode="General" sourceLinked="0"/>
              <c:spPr>
                <a:solidFill>
                  <a:schemeClr val="tx2"/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Producción_agrícola!$B$14:$B$20</c:f>
              <c:numCache>
                <c:formatCode>General</c:formatCode>
                <c:ptCount val="7"/>
                <c:pt idx="0">
                  <c:v>1.9</c:v>
                </c:pt>
                <c:pt idx="1">
                  <c:v>2.2000000000000002</c:v>
                </c:pt>
                <c:pt idx="2">
                  <c:v>2.9</c:v>
                </c:pt>
                <c:pt idx="3">
                  <c:v>3.6</c:v>
                </c:pt>
                <c:pt idx="4">
                  <c:v>3.8</c:v>
                </c:pt>
                <c:pt idx="5">
                  <c:v>4.5999999999999996</c:v>
                </c:pt>
                <c:pt idx="6">
                  <c:v>5.5</c:v>
                </c:pt>
              </c:numCache>
            </c:numRef>
          </c:xVal>
          <c:yVal>
            <c:numRef>
              <c:f>Producción_agrícola!$C$14:$C$20</c:f>
              <c:numCache>
                <c:formatCode>General</c:formatCode>
                <c:ptCount val="7"/>
                <c:pt idx="0">
                  <c:v>5.5</c:v>
                </c:pt>
                <c:pt idx="1">
                  <c:v>7.4</c:v>
                </c:pt>
                <c:pt idx="2">
                  <c:v>9.8000000000000007</c:v>
                </c:pt>
                <c:pt idx="3">
                  <c:v>11.6</c:v>
                </c:pt>
                <c:pt idx="4">
                  <c:v>11.6</c:v>
                </c:pt>
                <c:pt idx="5">
                  <c:v>12.2</c:v>
                </c:pt>
                <c:pt idx="6">
                  <c:v>11.2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BF-462A-A777-8741F9805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39776"/>
        <c:axId val="132940352"/>
      </c:scatterChart>
      <c:valAx>
        <c:axId val="132939776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Gastos de producción (millones €)</a:t>
                </a:r>
              </a:p>
            </c:rich>
          </c:tx>
          <c:layout>
            <c:manualLayout>
              <c:xMode val="edge"/>
              <c:yMode val="edge"/>
              <c:x val="0.35595045772751749"/>
              <c:y val="0.910756348227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940352"/>
        <c:crosses val="autoZero"/>
        <c:crossBetween val="midCat"/>
      </c:valAx>
      <c:valAx>
        <c:axId val="13294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Ingresos totales (millones €)</a:t>
                </a:r>
              </a:p>
            </c:rich>
          </c:tx>
          <c:layout>
            <c:manualLayout>
              <c:xMode val="edge"/>
              <c:yMode val="edge"/>
              <c:x val="2.2617124394184167E-2"/>
              <c:y val="0.267361856876324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93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de residuos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Producción_agrícola!$D$14:$D$20</c:f>
              <c:numCache>
                <c:formatCode>0.000</c:formatCode>
                <c:ptCount val="7"/>
                <c:pt idx="0">
                  <c:v>7.2935483870967763</c:v>
                </c:pt>
                <c:pt idx="1">
                  <c:v>7.7822580645161317</c:v>
                </c:pt>
                <c:pt idx="2">
                  <c:v>8.9225806451612932</c:v>
                </c:pt>
                <c:pt idx="3">
                  <c:v>10.062903225806455</c:v>
                </c:pt>
                <c:pt idx="4">
                  <c:v>10.388709677419357</c:v>
                </c:pt>
                <c:pt idx="5">
                  <c:v>11.691935483870969</c:v>
                </c:pt>
                <c:pt idx="6">
                  <c:v>13.158064516129034</c:v>
                </c:pt>
              </c:numCache>
            </c:numRef>
          </c:xVal>
          <c:yVal>
            <c:numRef>
              <c:f>Producción_agrícola!$E$14:$E$20</c:f>
              <c:numCache>
                <c:formatCode>0.000</c:formatCode>
                <c:ptCount val="7"/>
                <c:pt idx="0">
                  <c:v>-1.7935483870967763</c:v>
                </c:pt>
                <c:pt idx="1">
                  <c:v>-0.38225806451613131</c:v>
                </c:pt>
                <c:pt idx="2">
                  <c:v>0.87741935483870748</c:v>
                </c:pt>
                <c:pt idx="3">
                  <c:v>1.5370967741935448</c:v>
                </c:pt>
                <c:pt idx="4">
                  <c:v>1.2112903225806431</c:v>
                </c:pt>
                <c:pt idx="5">
                  <c:v>0.50806451612903025</c:v>
                </c:pt>
                <c:pt idx="6">
                  <c:v>-1.9580645161290349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E5-4E13-AD9F-8C2371AD4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42080"/>
        <c:axId val="132942656"/>
      </c:scatterChart>
      <c:valAx>
        <c:axId val="13294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Ingresos estimados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942656"/>
        <c:crosses val="autoZero"/>
        <c:crossBetween val="midCat"/>
      </c:valAx>
      <c:valAx>
        <c:axId val="13294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Residuo o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94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1</xdr:row>
      <xdr:rowOff>23812</xdr:rowOff>
    </xdr:from>
    <xdr:to>
      <xdr:col>17</xdr:col>
      <xdr:colOff>161925</xdr:colOff>
      <xdr:row>17</xdr:row>
      <xdr:rowOff>104776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47</xdr:row>
      <xdr:rowOff>119061</xdr:rowOff>
    </xdr:from>
    <xdr:to>
      <xdr:col>14</xdr:col>
      <xdr:colOff>9525</xdr:colOff>
      <xdr:row>63</xdr:row>
      <xdr:rowOff>200024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266700</xdr:colOff>
      <xdr:row>32</xdr:row>
      <xdr:rowOff>180976</xdr:rowOff>
    </xdr:from>
    <xdr:to>
      <xdr:col>17</xdr:col>
      <xdr:colOff>171450</xdr:colOff>
      <xdr:row>36</xdr:row>
      <xdr:rowOff>57150</xdr:rowOff>
    </xdr:to>
    <xdr:sp macro="" textlink="">
      <xdr:nvSpPr>
        <xdr:cNvPr id="4" name="CuadroTexto 3"/>
        <xdr:cNvSpPr txBox="1"/>
      </xdr:nvSpPr>
      <xdr:spPr>
        <a:xfrm>
          <a:off x="12658725" y="6886576"/>
          <a:ext cx="2505075" cy="714374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NOTA</a:t>
          </a:r>
          <a:r>
            <a:rPr lang="es-ES" sz="1100"/>
            <a:t>: Al final de los datos (filas 141 y siguientes)</a:t>
          </a:r>
          <a:r>
            <a:rPr lang="es-ES" sz="1100" baseline="0"/>
            <a:t> están calculadas las medias y varianzas de cada columna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16</xdr:row>
      <xdr:rowOff>9525</xdr:rowOff>
    </xdr:from>
    <xdr:to>
      <xdr:col>7</xdr:col>
      <xdr:colOff>657225</xdr:colOff>
      <xdr:row>34</xdr:row>
      <xdr:rowOff>109537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276225</xdr:colOff>
      <xdr:row>27</xdr:row>
      <xdr:rowOff>28575</xdr:rowOff>
    </xdr:from>
    <xdr:to>
      <xdr:col>19</xdr:col>
      <xdr:colOff>628649</xdr:colOff>
      <xdr:row>47</xdr:row>
      <xdr:rowOff>61912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36</xdr:row>
      <xdr:rowOff>90486</xdr:rowOff>
    </xdr:from>
    <xdr:to>
      <xdr:col>7</xdr:col>
      <xdr:colOff>838200</xdr:colOff>
      <xdr:row>52</xdr:row>
      <xdr:rowOff>161925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581025</xdr:colOff>
      <xdr:row>21</xdr:row>
      <xdr:rowOff>161925</xdr:rowOff>
    </xdr:from>
    <xdr:to>
      <xdr:col>8</xdr:col>
      <xdr:colOff>552450</xdr:colOff>
      <xdr:row>39</xdr:row>
      <xdr:rowOff>104775</xdr:rowOff>
    </xdr:to>
    <xdr:cxnSp macro="">
      <xdr:nvCxnSpPr>
        <xdr:cNvPr id="6" name="Conector recto de flecha 5"/>
        <xdr:cNvCxnSpPr/>
      </xdr:nvCxnSpPr>
      <xdr:spPr>
        <a:xfrm flipH="1">
          <a:off x="4857750" y="4705350"/>
          <a:ext cx="828675" cy="357187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71437</xdr:rowOff>
    </xdr:from>
    <xdr:to>
      <xdr:col>7</xdr:col>
      <xdr:colOff>28575</xdr:colOff>
      <xdr:row>39</xdr:row>
      <xdr:rowOff>14287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41</xdr:row>
      <xdr:rowOff>0</xdr:rowOff>
    </xdr:from>
    <xdr:to>
      <xdr:col>7</xdr:col>
      <xdr:colOff>47625</xdr:colOff>
      <xdr:row>55</xdr:row>
      <xdr:rowOff>161925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0</xdr:row>
      <xdr:rowOff>1</xdr:rowOff>
    </xdr:from>
    <xdr:to>
      <xdr:col>12</xdr:col>
      <xdr:colOff>314325</xdr:colOff>
      <xdr:row>7</xdr:row>
      <xdr:rowOff>200026</xdr:rowOff>
    </xdr:to>
    <xdr:sp macro="" textlink="">
      <xdr:nvSpPr>
        <xdr:cNvPr id="5" name="Rectángulo 4"/>
        <xdr:cNvSpPr/>
      </xdr:nvSpPr>
      <xdr:spPr>
        <a:xfrm>
          <a:off x="9525" y="1"/>
          <a:ext cx="10744200" cy="1733550"/>
        </a:xfrm>
        <a:prstGeom prst="rect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Los directivos de una empresa multinacional de cosméticos quieren analizar la posible relación entre la variable Beneficios Anuales (Y) y Gastos en Publicidad (X) para varios productos comercializados. La tabla inferior recoge los datos:</a:t>
          </a:r>
        </a:p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a) Con los datos propuestos determinar el ajuste entre los Beneficios Anuales y Gastos en Publicidad utilizando una función lineal. Interpretar los parámetros de la recta.</a:t>
          </a:r>
        </a:p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b) Determinar la bondad del ajuste anterior numérica y gráficamente.</a:t>
          </a:r>
        </a:p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c) Estimar los beneficios que se tendrían en la empresa si se realiza un gasto en publicidad de 15 millones de euros. ¿Es fiable la predicción?</a:t>
          </a:r>
        </a:p>
        <a:p>
          <a:endParaRPr kumimoji="0" lang="es-ES" sz="1400" b="0" i="0" u="none" strike="noStrike" kern="0" cap="none" spc="0" normalizeH="0" baseline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4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24</xdr:row>
      <xdr:rowOff>76200</xdr:rowOff>
    </xdr:from>
    <xdr:to>
      <xdr:col>9</xdr:col>
      <xdr:colOff>295275</xdr:colOff>
      <xdr:row>48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400049</xdr:colOff>
      <xdr:row>24</xdr:row>
      <xdr:rowOff>61911</xdr:rowOff>
    </xdr:from>
    <xdr:to>
      <xdr:col>17</xdr:col>
      <xdr:colOff>590550</xdr:colOff>
      <xdr:row>48</xdr:row>
      <xdr:rowOff>85724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0</xdr:row>
      <xdr:rowOff>133351</xdr:rowOff>
    </xdr:from>
    <xdr:to>
      <xdr:col>11</xdr:col>
      <xdr:colOff>552450</xdr:colOff>
      <xdr:row>6</xdr:row>
      <xdr:rowOff>171451</xdr:rowOff>
    </xdr:to>
    <xdr:sp macro="" textlink="">
      <xdr:nvSpPr>
        <xdr:cNvPr id="4" name="Rectángulo 3"/>
        <xdr:cNvSpPr/>
      </xdr:nvSpPr>
      <xdr:spPr>
        <a:xfrm>
          <a:off x="171450" y="133351"/>
          <a:ext cx="8763000" cy="1352550"/>
        </a:xfrm>
        <a:prstGeom prst="rect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Una explotación agrícola familiar ha tenido en los siete últimos años, unos gastos de producción (X) y unos ingresos totales (Y) en millones de recogidos en la siguiente tabla</a:t>
          </a:r>
        </a:p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a) Ajustar una recta. Interpretar los coeficientes de la recta obtenida.</a:t>
          </a:r>
        </a:p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b) Estudiar la bondad del ajuste anterior numérica y gráficamente.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4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28575</xdr:rowOff>
    </xdr:from>
    <xdr:to>
      <xdr:col>6</xdr:col>
      <xdr:colOff>314325</xdr:colOff>
      <xdr:row>42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0</xdr:row>
      <xdr:rowOff>104776</xdr:rowOff>
    </xdr:from>
    <xdr:to>
      <xdr:col>11</xdr:col>
      <xdr:colOff>333375</xdr:colOff>
      <xdr:row>9</xdr:row>
      <xdr:rowOff>133351</xdr:rowOff>
    </xdr:to>
    <xdr:sp macro="" textlink="">
      <xdr:nvSpPr>
        <xdr:cNvPr id="3" name="Rectángulo 2"/>
        <xdr:cNvSpPr/>
      </xdr:nvSpPr>
      <xdr:spPr>
        <a:xfrm>
          <a:off x="390525" y="104776"/>
          <a:ext cx="10696575" cy="1828800"/>
        </a:xfrm>
        <a:prstGeom prst="rect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Los planificadores urbanos piensan que las ciudades más grandes están pobladas por residentes de más edad. Para investigar la relación reunieron datos sobre la población y la media de edad en 10 grandes ciudades obteniendo los siguientes resultados: </a:t>
          </a:r>
        </a:p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a) Representar el diagrama de dispersión tomando la edad media como variable dependiente.</a:t>
          </a:r>
        </a:p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b) Ajustar una recta de regresión e interpretar el resultado.</a:t>
          </a:r>
        </a:p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c) Analizar la bondad de ajuste del modelo.</a:t>
          </a:r>
        </a:p>
        <a:p>
          <a:pPr lvl="0">
            <a:spcBef>
              <a:spcPts val="600"/>
            </a:spcBef>
          </a:pPr>
          <a:r>
            <a:rPr kumimoji="0" lang="es-ES" sz="14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c) Estimar la edad media de una ciudad de 2,5 millones de habitantes. ¿Es fiable dicha predicción?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4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workbookViewId="0">
      <selection activeCell="S43" sqref="S43"/>
    </sheetView>
  </sheetViews>
  <sheetFormatPr baseColWidth="10" defaultColWidth="11.42578125" defaultRowHeight="16.5" x14ac:dyDescent="0.35"/>
  <cols>
    <col min="1" max="3" width="11.42578125" style="1"/>
    <col min="4" max="4" width="16" style="15" customWidth="1"/>
    <col min="5" max="5" width="16.7109375" style="15" customWidth="1"/>
    <col min="6" max="6" width="14.140625" style="15" customWidth="1"/>
    <col min="7" max="9" width="11.42578125" style="1"/>
    <col min="10" max="10" width="19.7109375" style="1" customWidth="1"/>
    <col min="11" max="12" width="11.42578125" style="1"/>
    <col min="13" max="13" width="16.42578125" style="1" customWidth="1"/>
    <col min="14" max="14" width="11.42578125" style="1"/>
    <col min="15" max="15" width="12.85546875" style="1" bestFit="1" customWidth="1"/>
    <col min="16" max="16" width="12.85546875" style="1" customWidth="1"/>
    <col min="17" max="17" width="13.28515625" style="1" customWidth="1"/>
    <col min="18" max="16384" width="11.42578125" style="1"/>
  </cols>
  <sheetData>
    <row r="1" spans="2:10" x14ac:dyDescent="0.35">
      <c r="D1" s="42" t="s">
        <v>21</v>
      </c>
      <c r="E1" s="42">
        <f>COUNT(Estatura)</f>
        <v>137</v>
      </c>
    </row>
    <row r="2" spans="2:10" x14ac:dyDescent="0.35">
      <c r="B2" s="2" t="s">
        <v>2</v>
      </c>
      <c r="C2" s="2" t="s">
        <v>3</v>
      </c>
      <c r="I2" s="7" t="s">
        <v>115</v>
      </c>
      <c r="J2" s="1" t="s">
        <v>116</v>
      </c>
    </row>
    <row r="3" spans="2:10" x14ac:dyDescent="0.35">
      <c r="B3" s="3" t="s">
        <v>0</v>
      </c>
      <c r="C3" s="3" t="s">
        <v>1</v>
      </c>
      <c r="D3" s="4" t="s">
        <v>8</v>
      </c>
      <c r="E3" s="4" t="s">
        <v>9</v>
      </c>
      <c r="F3" s="4" t="s">
        <v>10</v>
      </c>
      <c r="J3" s="1" t="s">
        <v>117</v>
      </c>
    </row>
    <row r="4" spans="2:10" x14ac:dyDescent="0.35">
      <c r="B4" s="5">
        <v>162</v>
      </c>
      <c r="C4" s="5">
        <v>52.5</v>
      </c>
      <c r="D4" s="17">
        <f t="shared" ref="D4:D67" si="0">$M$29+$K$29*B4</f>
        <v>54.972975427322922</v>
      </c>
      <c r="E4" s="16">
        <f>C4-D4</f>
        <v>-2.4729754273229219</v>
      </c>
      <c r="F4" s="16">
        <f>E4^2</f>
        <v>6.1156074641429878</v>
      </c>
      <c r="J4" s="1" t="s">
        <v>118</v>
      </c>
    </row>
    <row r="5" spans="2:10" x14ac:dyDescent="0.35">
      <c r="B5" s="5">
        <v>182</v>
      </c>
      <c r="C5" s="5">
        <v>76</v>
      </c>
      <c r="D5" s="17">
        <f t="shared" si="0"/>
        <v>75.018534665784813</v>
      </c>
      <c r="E5" s="16">
        <f t="shared" ref="E5:E68" si="1">C5-D5</f>
        <v>0.98146533421518711</v>
      </c>
      <c r="F5" s="16">
        <f t="shared" ref="F5:F68" si="2">E5^2</f>
        <v>0.96327420226612892</v>
      </c>
      <c r="J5" s="1" t="s">
        <v>119</v>
      </c>
    </row>
    <row r="6" spans="2:10" x14ac:dyDescent="0.35">
      <c r="B6" s="5">
        <v>185</v>
      </c>
      <c r="C6" s="5">
        <v>84</v>
      </c>
      <c r="D6" s="17">
        <f t="shared" si="0"/>
        <v>78.025368551554095</v>
      </c>
      <c r="E6" s="16">
        <f t="shared" si="1"/>
        <v>5.9746314484459049</v>
      </c>
      <c r="F6" s="16">
        <f t="shared" si="2"/>
        <v>35.696220944758814</v>
      </c>
    </row>
    <row r="7" spans="2:10" x14ac:dyDescent="0.35">
      <c r="B7" s="5">
        <v>170</v>
      </c>
      <c r="C7" s="5">
        <v>60</v>
      </c>
      <c r="D7" s="17">
        <f t="shared" si="0"/>
        <v>62.991199122707684</v>
      </c>
      <c r="E7" s="16">
        <f t="shared" si="1"/>
        <v>-2.991199122707684</v>
      </c>
      <c r="F7" s="16">
        <f t="shared" si="2"/>
        <v>8.9472721916872189</v>
      </c>
    </row>
    <row r="8" spans="2:10" x14ac:dyDescent="0.35">
      <c r="B8" s="5">
        <v>172</v>
      </c>
      <c r="C8" s="5">
        <v>72</v>
      </c>
      <c r="D8" s="17">
        <f t="shared" si="0"/>
        <v>64.995755046553882</v>
      </c>
      <c r="E8" s="16">
        <f t="shared" si="1"/>
        <v>7.0042449534461184</v>
      </c>
      <c r="F8" s="16">
        <f t="shared" si="2"/>
        <v>49.059447367875414</v>
      </c>
    </row>
    <row r="9" spans="2:10" x14ac:dyDescent="0.35">
      <c r="B9" s="5">
        <v>159</v>
      </c>
      <c r="C9" s="5">
        <v>51</v>
      </c>
      <c r="D9" s="17">
        <f t="shared" si="0"/>
        <v>51.96614154155364</v>
      </c>
      <c r="E9" s="16">
        <f t="shared" si="1"/>
        <v>-0.96614154155363963</v>
      </c>
      <c r="F9" s="16">
        <f t="shared" si="2"/>
        <v>0.93342947831564316</v>
      </c>
    </row>
    <row r="10" spans="2:10" x14ac:dyDescent="0.35">
      <c r="B10" s="5">
        <v>182</v>
      </c>
      <c r="C10" s="5">
        <v>76</v>
      </c>
      <c r="D10" s="17">
        <f t="shared" si="0"/>
        <v>75.018534665784813</v>
      </c>
      <c r="E10" s="16">
        <f t="shared" si="1"/>
        <v>0.98146533421518711</v>
      </c>
      <c r="F10" s="16">
        <f t="shared" si="2"/>
        <v>0.96327420226612892</v>
      </c>
    </row>
    <row r="11" spans="2:10" x14ac:dyDescent="0.35">
      <c r="B11" s="6">
        <v>160</v>
      </c>
      <c r="C11" s="5">
        <v>50</v>
      </c>
      <c r="D11" s="17">
        <f t="shared" si="0"/>
        <v>52.968419503476753</v>
      </c>
      <c r="E11" s="16">
        <f t="shared" si="1"/>
        <v>-2.9684195034767527</v>
      </c>
      <c r="F11" s="16">
        <f t="shared" si="2"/>
        <v>8.81151434862117</v>
      </c>
    </row>
    <row r="12" spans="2:10" x14ac:dyDescent="0.35">
      <c r="B12" s="5">
        <v>182</v>
      </c>
      <c r="C12" s="5">
        <v>65</v>
      </c>
      <c r="D12" s="17">
        <f t="shared" si="0"/>
        <v>75.018534665784813</v>
      </c>
      <c r="E12" s="16">
        <f t="shared" si="1"/>
        <v>-10.018534665784813</v>
      </c>
      <c r="F12" s="16">
        <f t="shared" si="2"/>
        <v>100.37103684953202</v>
      </c>
    </row>
    <row r="13" spans="2:10" x14ac:dyDescent="0.35">
      <c r="B13" s="5">
        <v>180</v>
      </c>
      <c r="C13" s="5">
        <v>71</v>
      </c>
      <c r="D13" s="17">
        <f t="shared" si="0"/>
        <v>73.013978741938644</v>
      </c>
      <c r="E13" s="16">
        <f t="shared" si="1"/>
        <v>-2.0139787419386437</v>
      </c>
      <c r="F13" s="16">
        <f t="shared" si="2"/>
        <v>4.0561103729807622</v>
      </c>
    </row>
    <row r="14" spans="2:10" x14ac:dyDescent="0.35">
      <c r="B14" s="5">
        <v>178</v>
      </c>
      <c r="C14" s="5">
        <v>76</v>
      </c>
      <c r="D14" s="17">
        <f t="shared" si="0"/>
        <v>71.009422818092446</v>
      </c>
      <c r="E14" s="16">
        <f t="shared" si="1"/>
        <v>4.9905771819075539</v>
      </c>
      <c r="F14" s="16">
        <f t="shared" si="2"/>
        <v>24.905860608576344</v>
      </c>
    </row>
    <row r="15" spans="2:10" x14ac:dyDescent="0.35">
      <c r="B15" s="5">
        <v>163</v>
      </c>
      <c r="C15" s="5">
        <v>50</v>
      </c>
      <c r="D15" s="17">
        <f t="shared" si="0"/>
        <v>55.975253389246035</v>
      </c>
      <c r="E15" s="16">
        <f t="shared" si="1"/>
        <v>-5.9752533892460349</v>
      </c>
      <c r="F15" s="16">
        <f t="shared" si="2"/>
        <v>35.70365306569623</v>
      </c>
    </row>
    <row r="16" spans="2:10" x14ac:dyDescent="0.35">
      <c r="B16" s="5">
        <v>173</v>
      </c>
      <c r="C16" s="5">
        <v>69</v>
      </c>
      <c r="D16" s="17">
        <f t="shared" si="0"/>
        <v>65.998033008476966</v>
      </c>
      <c r="E16" s="16">
        <f t="shared" si="1"/>
        <v>3.0019669915230338</v>
      </c>
      <c r="F16" s="16">
        <f t="shared" si="2"/>
        <v>9.0118058181938547</v>
      </c>
    </row>
    <row r="17" spans="2:18" x14ac:dyDescent="0.35">
      <c r="B17" s="5">
        <v>160</v>
      </c>
      <c r="C17" s="5">
        <v>50</v>
      </c>
      <c r="D17" s="17">
        <f t="shared" si="0"/>
        <v>52.968419503476753</v>
      </c>
      <c r="E17" s="16">
        <f t="shared" si="1"/>
        <v>-2.9684195034767527</v>
      </c>
      <c r="F17" s="16">
        <f t="shared" si="2"/>
        <v>8.81151434862117</v>
      </c>
    </row>
    <row r="18" spans="2:18" x14ac:dyDescent="0.35">
      <c r="B18" s="5">
        <v>184</v>
      </c>
      <c r="C18" s="5">
        <v>68</v>
      </c>
      <c r="D18" s="17">
        <f t="shared" si="0"/>
        <v>77.023090589631011</v>
      </c>
      <c r="E18" s="16">
        <f t="shared" si="1"/>
        <v>-9.0230905896310105</v>
      </c>
      <c r="F18" s="16">
        <f t="shared" si="2"/>
        <v>81.416163788687697</v>
      </c>
    </row>
    <row r="19" spans="2:18" x14ac:dyDescent="0.35">
      <c r="B19" s="5">
        <v>162</v>
      </c>
      <c r="C19" s="5">
        <v>57</v>
      </c>
      <c r="D19" s="17">
        <f t="shared" si="0"/>
        <v>54.972975427322922</v>
      </c>
      <c r="E19" s="16">
        <f t="shared" si="1"/>
        <v>2.0270245726770781</v>
      </c>
      <c r="F19" s="16">
        <f t="shared" si="2"/>
        <v>4.1088286182366911</v>
      </c>
    </row>
    <row r="20" spans="2:18" x14ac:dyDescent="0.35">
      <c r="B20" s="5">
        <v>165</v>
      </c>
      <c r="C20" s="5">
        <v>56</v>
      </c>
      <c r="D20" s="17">
        <f t="shared" si="0"/>
        <v>57.979809313092204</v>
      </c>
      <c r="E20" s="16">
        <f t="shared" si="1"/>
        <v>-1.9798093130922041</v>
      </c>
      <c r="F20" s="16">
        <f t="shared" si="2"/>
        <v>3.9196449162066251</v>
      </c>
      <c r="I20" s="7" t="s">
        <v>121</v>
      </c>
      <c r="J20" s="18" t="s">
        <v>18</v>
      </c>
      <c r="K20" s="20">
        <f>AVERAGE(Estatura)</f>
        <v>173.22262773722628</v>
      </c>
      <c r="L20" s="9" t="s">
        <v>5</v>
      </c>
      <c r="M20" s="18" t="s">
        <v>19</v>
      </c>
      <c r="N20" s="20">
        <f>AVERAGE(Peso)</f>
        <v>66.221167883211677</v>
      </c>
      <c r="O20" s="9" t="s">
        <v>4</v>
      </c>
    </row>
    <row r="21" spans="2:18" x14ac:dyDescent="0.35">
      <c r="B21" s="5">
        <v>165</v>
      </c>
      <c r="C21" s="5">
        <v>50</v>
      </c>
      <c r="D21" s="17">
        <f t="shared" si="0"/>
        <v>57.979809313092204</v>
      </c>
      <c r="E21" s="16">
        <f t="shared" si="1"/>
        <v>-7.9798093130922041</v>
      </c>
      <c r="F21" s="16">
        <f t="shared" si="2"/>
        <v>63.677356673313071</v>
      </c>
      <c r="I21" s="7"/>
      <c r="J21" s="18" t="s">
        <v>20</v>
      </c>
      <c r="K21" s="20">
        <f>STDEVP(Estatura)</f>
        <v>9.1001964581402799</v>
      </c>
      <c r="L21" s="9" t="s">
        <v>5</v>
      </c>
      <c r="M21" s="18" t="s">
        <v>17</v>
      </c>
      <c r="N21" s="20">
        <f>STDEVP(Peso)</f>
        <v>11.627581296694165</v>
      </c>
      <c r="O21" s="9" t="s">
        <v>4</v>
      </c>
      <c r="P21" s="41"/>
    </row>
    <row r="22" spans="2:18" x14ac:dyDescent="0.35">
      <c r="B22" s="5">
        <v>172</v>
      </c>
      <c r="C22" s="5">
        <v>60</v>
      </c>
      <c r="D22" s="17">
        <f t="shared" si="0"/>
        <v>64.995755046553882</v>
      </c>
      <c r="E22" s="16">
        <f t="shared" si="1"/>
        <v>-4.9957550465538816</v>
      </c>
      <c r="F22" s="16">
        <f t="shared" si="2"/>
        <v>24.957568485168576</v>
      </c>
      <c r="I22" s="7"/>
      <c r="J22" s="7" t="s">
        <v>93</v>
      </c>
      <c r="K22" s="21">
        <f>K21/K20</f>
        <v>5.2534686588088339E-2</v>
      </c>
      <c r="L22" s="9"/>
      <c r="M22" s="7" t="s">
        <v>94</v>
      </c>
      <c r="N22" s="21">
        <f>N21/N20</f>
        <v>0.17558707688756994</v>
      </c>
      <c r="O22" s="9"/>
    </row>
    <row r="23" spans="2:18" x14ac:dyDescent="0.35">
      <c r="B23" s="6">
        <v>173</v>
      </c>
      <c r="C23" s="5">
        <v>59</v>
      </c>
      <c r="D23" s="17">
        <f t="shared" si="0"/>
        <v>65.998033008476966</v>
      </c>
      <c r="E23" s="16">
        <f t="shared" si="1"/>
        <v>-6.9980330084769662</v>
      </c>
      <c r="F23" s="16">
        <f t="shared" si="2"/>
        <v>48.97246598773318</v>
      </c>
      <c r="I23" s="7"/>
      <c r="J23" s="9" t="s">
        <v>95</v>
      </c>
      <c r="K23" s="7"/>
      <c r="L23" s="7"/>
      <c r="M23" s="9" t="s">
        <v>120</v>
      </c>
      <c r="N23" s="7"/>
      <c r="O23" s="7"/>
      <c r="P23" s="9"/>
      <c r="Q23" s="9"/>
    </row>
    <row r="24" spans="2:18" x14ac:dyDescent="0.35">
      <c r="B24" s="5">
        <v>167</v>
      </c>
      <c r="C24" s="5">
        <v>61</v>
      </c>
      <c r="D24" s="17">
        <f t="shared" si="0"/>
        <v>59.984365236938402</v>
      </c>
      <c r="E24" s="16">
        <f t="shared" si="1"/>
        <v>1.0156347630615983</v>
      </c>
      <c r="F24" s="16">
        <f t="shared" si="2"/>
        <v>1.0315139719391888</v>
      </c>
    </row>
    <row r="25" spans="2:18" x14ac:dyDescent="0.35">
      <c r="B25" s="6">
        <v>174</v>
      </c>
      <c r="C25" s="5">
        <v>59.8</v>
      </c>
      <c r="D25" s="17">
        <f t="shared" si="0"/>
        <v>67.000310970400079</v>
      </c>
      <c r="E25" s="16">
        <f t="shared" si="1"/>
        <v>-7.2003109704000821</v>
      </c>
      <c r="F25" s="16">
        <f t="shared" si="2"/>
        <v>51.844478070463772</v>
      </c>
      <c r="I25" s="7" t="s">
        <v>122</v>
      </c>
      <c r="J25" s="18" t="s">
        <v>6</v>
      </c>
      <c r="K25" s="22">
        <f>COVAR(Peso,Estatura)</f>
        <v>83.002221748628074</v>
      </c>
      <c r="L25" s="9" t="s">
        <v>16</v>
      </c>
      <c r="M25" s="9" t="s">
        <v>26</v>
      </c>
      <c r="N25" s="9"/>
      <c r="O25" s="9"/>
      <c r="P25" s="9"/>
      <c r="Q25" s="9"/>
    </row>
    <row r="26" spans="2:18" x14ac:dyDescent="0.35">
      <c r="B26" s="5">
        <v>173</v>
      </c>
      <c r="C26" s="5">
        <v>73</v>
      </c>
      <c r="D26" s="17">
        <f t="shared" si="0"/>
        <v>65.998033008476966</v>
      </c>
      <c r="E26" s="16">
        <f t="shared" si="1"/>
        <v>7.0019669915230338</v>
      </c>
      <c r="F26" s="16">
        <f t="shared" si="2"/>
        <v>49.027541750378127</v>
      </c>
      <c r="I26" s="7"/>
      <c r="J26" s="18" t="s">
        <v>96</v>
      </c>
      <c r="K26" s="19">
        <f>K25/(K21*N21)</f>
        <v>0.78442163734927195</v>
      </c>
      <c r="L26" s="9"/>
      <c r="M26" s="12">
        <f>CORREL(Peso,Estatura)</f>
        <v>0.78442163734927373</v>
      </c>
      <c r="N26" s="12"/>
      <c r="O26" s="12"/>
      <c r="P26" s="12"/>
      <c r="Q26" s="12"/>
    </row>
    <row r="27" spans="2:18" x14ac:dyDescent="0.35">
      <c r="B27" s="5">
        <v>171</v>
      </c>
      <c r="C27" s="5">
        <v>66</v>
      </c>
      <c r="D27" s="17">
        <f t="shared" si="0"/>
        <v>63.993477084630769</v>
      </c>
      <c r="E27" s="16">
        <f t="shared" si="1"/>
        <v>2.0065229153692314</v>
      </c>
      <c r="F27" s="16">
        <f t="shared" si="2"/>
        <v>4.0261342099018398</v>
      </c>
      <c r="I27" s="7"/>
      <c r="J27" s="9" t="s">
        <v>22</v>
      </c>
      <c r="K27" s="12"/>
      <c r="L27" s="9"/>
      <c r="M27" s="12"/>
      <c r="N27" s="12"/>
      <c r="O27" s="12"/>
      <c r="P27" s="12"/>
      <c r="Q27" s="12"/>
    </row>
    <row r="28" spans="2:18" x14ac:dyDescent="0.35">
      <c r="B28" s="5">
        <v>177</v>
      </c>
      <c r="C28" s="5">
        <v>65</v>
      </c>
      <c r="D28" s="17">
        <f t="shared" si="0"/>
        <v>70.007144856169361</v>
      </c>
      <c r="E28" s="16">
        <f t="shared" si="1"/>
        <v>-5.0071448561693614</v>
      </c>
      <c r="F28" s="16">
        <f t="shared" si="2"/>
        <v>25.071499610663295</v>
      </c>
      <c r="I28" s="13"/>
    </row>
    <row r="29" spans="2:18" x14ac:dyDescent="0.35">
      <c r="B29" s="5">
        <v>170</v>
      </c>
      <c r="C29" s="5">
        <v>59</v>
      </c>
      <c r="D29" s="17">
        <f t="shared" si="0"/>
        <v>62.991199122707684</v>
      </c>
      <c r="E29" s="16">
        <f t="shared" si="1"/>
        <v>-3.991199122707684</v>
      </c>
      <c r="F29" s="16">
        <f t="shared" si="2"/>
        <v>15.929670437102587</v>
      </c>
      <c r="I29" s="7" t="s">
        <v>123</v>
      </c>
      <c r="J29" s="14" t="s">
        <v>97</v>
      </c>
      <c r="K29" s="12">
        <f>SLOPE(Peso,Estatura)</f>
        <v>1.0022779619230948</v>
      </c>
      <c r="L29" s="14" t="s">
        <v>98</v>
      </c>
      <c r="M29" s="11">
        <f>INTERCEPT(Peso,Estatura)</f>
        <v>-107.39605440421843</v>
      </c>
      <c r="N29" s="9"/>
      <c r="O29" s="7" t="s">
        <v>92</v>
      </c>
      <c r="P29" s="7"/>
      <c r="Q29" s="115" t="s">
        <v>127</v>
      </c>
      <c r="R29" s="115"/>
    </row>
    <row r="30" spans="2:18" x14ac:dyDescent="0.35">
      <c r="B30" s="5">
        <v>163.5</v>
      </c>
      <c r="C30" s="5">
        <v>42.5</v>
      </c>
      <c r="D30" s="17">
        <f t="shared" si="0"/>
        <v>56.476392370207577</v>
      </c>
      <c r="E30" s="16">
        <f t="shared" si="1"/>
        <v>-13.976392370207577</v>
      </c>
      <c r="F30" s="16">
        <f t="shared" si="2"/>
        <v>195.33954368599657</v>
      </c>
      <c r="I30" s="7"/>
      <c r="J30" s="9" t="s">
        <v>7</v>
      </c>
      <c r="K30" s="9"/>
      <c r="L30" s="9"/>
      <c r="M30" s="9"/>
      <c r="N30" s="9" t="s">
        <v>129</v>
      </c>
      <c r="O30" s="9"/>
      <c r="P30" s="9"/>
      <c r="Q30" s="9"/>
    </row>
    <row r="31" spans="2:18" x14ac:dyDescent="0.35">
      <c r="B31" s="5">
        <v>150</v>
      </c>
      <c r="C31" s="5">
        <v>45</v>
      </c>
      <c r="D31" s="17">
        <f t="shared" si="0"/>
        <v>42.945639884245793</v>
      </c>
      <c r="E31" s="16">
        <f t="shared" si="1"/>
        <v>2.0543601157542071</v>
      </c>
      <c r="F31" s="16">
        <f t="shared" si="2"/>
        <v>4.2203954852016388</v>
      </c>
      <c r="I31" s="7"/>
      <c r="J31" s="14" t="s">
        <v>99</v>
      </c>
      <c r="K31" s="12">
        <f>SLOPE(Estatura,Peso)</f>
        <v>0.6139188214425978</v>
      </c>
      <c r="L31" s="14" t="s">
        <v>100</v>
      </c>
      <c r="M31" s="12">
        <f>INTERCEPT(Estatura,Peso)</f>
        <v>132.56820639581255</v>
      </c>
      <c r="N31" s="9"/>
      <c r="O31" s="9"/>
      <c r="P31" s="9"/>
    </row>
    <row r="32" spans="2:18" x14ac:dyDescent="0.35">
      <c r="B32" s="5">
        <v>175</v>
      </c>
      <c r="C32" s="5">
        <v>65</v>
      </c>
      <c r="D32" s="17">
        <f t="shared" si="0"/>
        <v>68.002588932323164</v>
      </c>
      <c r="E32" s="16">
        <f t="shared" si="1"/>
        <v>-3.0025889323231638</v>
      </c>
      <c r="F32" s="16">
        <f t="shared" si="2"/>
        <v>9.0155402965095561</v>
      </c>
      <c r="I32" s="7"/>
      <c r="J32" s="7"/>
      <c r="K32" s="9" t="s">
        <v>90</v>
      </c>
      <c r="L32" s="9"/>
      <c r="M32" s="9"/>
      <c r="N32" s="9"/>
      <c r="O32" s="7" t="s">
        <v>91</v>
      </c>
      <c r="P32" s="7"/>
      <c r="Q32" s="115" t="s">
        <v>128</v>
      </c>
    </row>
    <row r="33" spans="2:17" x14ac:dyDescent="0.35">
      <c r="B33" s="5">
        <v>180</v>
      </c>
      <c r="C33" s="5">
        <v>70</v>
      </c>
      <c r="D33" s="17">
        <f t="shared" si="0"/>
        <v>73.013978741938644</v>
      </c>
      <c r="E33" s="16">
        <f t="shared" si="1"/>
        <v>-3.0139787419386437</v>
      </c>
      <c r="F33" s="16">
        <f t="shared" si="2"/>
        <v>9.0840678568580486</v>
      </c>
      <c r="I33" s="13"/>
    </row>
    <row r="34" spans="2:17" x14ac:dyDescent="0.35">
      <c r="B34" s="5">
        <v>172</v>
      </c>
      <c r="C34" s="5">
        <v>67</v>
      </c>
      <c r="D34" s="17">
        <f t="shared" si="0"/>
        <v>64.995755046553882</v>
      </c>
      <c r="E34" s="16">
        <f t="shared" si="1"/>
        <v>2.0042449534461184</v>
      </c>
      <c r="F34" s="16">
        <f t="shared" si="2"/>
        <v>4.0169978334142336</v>
      </c>
      <c r="I34" s="7" t="s">
        <v>124</v>
      </c>
      <c r="J34" s="18" t="s">
        <v>11</v>
      </c>
      <c r="K34" s="23"/>
      <c r="L34" s="24">
        <f>F141/E1</f>
        <v>52.009349161927609</v>
      </c>
      <c r="M34" s="9"/>
      <c r="N34" s="8">
        <f>_xlfn.VAR.P(E4:E140)</f>
        <v>52.009349161927609</v>
      </c>
    </row>
    <row r="35" spans="2:17" x14ac:dyDescent="0.35">
      <c r="B35" s="5">
        <v>185</v>
      </c>
      <c r="C35" s="5">
        <v>85</v>
      </c>
      <c r="D35" s="17">
        <f t="shared" si="0"/>
        <v>78.025368551554095</v>
      </c>
      <c r="E35" s="16">
        <f t="shared" si="1"/>
        <v>6.9746314484459049</v>
      </c>
      <c r="F35" s="16">
        <f t="shared" si="2"/>
        <v>48.645483841650623</v>
      </c>
      <c r="I35" s="7"/>
      <c r="J35" s="113" t="s">
        <v>33</v>
      </c>
      <c r="K35" s="114"/>
      <c r="L35" s="24">
        <f>_xlfn.VAR.P(Peso)</f>
        <v>135.20064681123196</v>
      </c>
      <c r="M35" s="9"/>
      <c r="N35" s="8">
        <f>N34+N36</f>
        <v>135.20064681123273</v>
      </c>
    </row>
    <row r="36" spans="2:17" x14ac:dyDescent="0.35">
      <c r="B36" s="5">
        <v>167</v>
      </c>
      <c r="C36" s="5">
        <v>48</v>
      </c>
      <c r="D36" s="17">
        <f t="shared" si="0"/>
        <v>59.984365236938402</v>
      </c>
      <c r="E36" s="16">
        <f t="shared" si="1"/>
        <v>-11.984365236938402</v>
      </c>
      <c r="F36" s="16">
        <f t="shared" si="2"/>
        <v>143.62501013233762</v>
      </c>
      <c r="I36" s="7"/>
      <c r="J36" s="18" t="s">
        <v>12</v>
      </c>
      <c r="K36" s="23"/>
      <c r="L36" s="24">
        <f>L35-L34</f>
        <v>83.191297649304346</v>
      </c>
      <c r="M36" s="9"/>
      <c r="N36" s="8">
        <f>_xlfn.VAR.P(D4:D140)</f>
        <v>83.191297649305113</v>
      </c>
    </row>
    <row r="37" spans="2:17" x14ac:dyDescent="0.35">
      <c r="B37" s="5">
        <v>165</v>
      </c>
      <c r="C37" s="5">
        <v>57</v>
      </c>
      <c r="D37" s="17">
        <f t="shared" si="0"/>
        <v>57.979809313092204</v>
      </c>
      <c r="E37" s="16">
        <f t="shared" si="1"/>
        <v>-0.97980931309220409</v>
      </c>
      <c r="F37" s="16">
        <f t="shared" si="2"/>
        <v>0.96002629002221684</v>
      </c>
      <c r="I37" s="13"/>
    </row>
    <row r="38" spans="2:17" x14ac:dyDescent="0.35">
      <c r="B38" s="5">
        <v>165</v>
      </c>
      <c r="C38" s="5">
        <v>58</v>
      </c>
      <c r="D38" s="17">
        <f t="shared" si="0"/>
        <v>57.979809313092204</v>
      </c>
      <c r="E38" s="16">
        <f t="shared" si="1"/>
        <v>2.0190686907795907E-2</v>
      </c>
      <c r="F38" s="16">
        <f t="shared" si="2"/>
        <v>4.0766383780864104E-4</v>
      </c>
      <c r="I38" s="7" t="s">
        <v>125</v>
      </c>
      <c r="J38" s="25" t="s">
        <v>24</v>
      </c>
      <c r="K38" s="26">
        <f>1-L34/_xlfn.VAR.P(Peso)</f>
        <v>0.61531730514171723</v>
      </c>
      <c r="L38" s="9"/>
      <c r="M38" s="14" t="s">
        <v>25</v>
      </c>
      <c r="N38" s="26">
        <f>K26^2</f>
        <v>0.61531730514171268</v>
      </c>
    </row>
    <row r="39" spans="2:17" x14ac:dyDescent="0.35">
      <c r="B39" s="5">
        <v>163</v>
      </c>
      <c r="C39" s="5">
        <v>58</v>
      </c>
      <c r="D39" s="17">
        <f t="shared" si="0"/>
        <v>55.975253389246035</v>
      </c>
      <c r="E39" s="16">
        <f t="shared" si="1"/>
        <v>2.0247466107539651</v>
      </c>
      <c r="F39" s="16">
        <f t="shared" si="2"/>
        <v>4.099598837759669</v>
      </c>
      <c r="I39" s="7"/>
      <c r="J39" s="9" t="s">
        <v>15</v>
      </c>
      <c r="K39" s="9"/>
      <c r="L39" s="9"/>
      <c r="M39" s="9"/>
      <c r="N39" s="10">
        <f>RSQ(Peso,Estatura)</f>
        <v>0.61531730514171534</v>
      </c>
    </row>
    <row r="40" spans="2:17" x14ac:dyDescent="0.35">
      <c r="B40" s="5">
        <v>183</v>
      </c>
      <c r="C40" s="5">
        <v>78</v>
      </c>
      <c r="D40" s="17">
        <f t="shared" si="0"/>
        <v>76.020812627707926</v>
      </c>
      <c r="E40" s="16">
        <f t="shared" si="1"/>
        <v>1.9791873722920741</v>
      </c>
      <c r="F40" s="16">
        <f t="shared" si="2"/>
        <v>3.9171826546404049</v>
      </c>
      <c r="I40" s="7"/>
      <c r="J40" s="9" t="s">
        <v>40</v>
      </c>
      <c r="K40" s="9"/>
      <c r="L40" s="9"/>
      <c r="M40" s="9"/>
      <c r="N40" s="10"/>
    </row>
    <row r="41" spans="2:17" x14ac:dyDescent="0.35">
      <c r="B41" s="5">
        <v>165</v>
      </c>
      <c r="C41" s="5">
        <v>50</v>
      </c>
      <c r="D41" s="17">
        <f t="shared" si="0"/>
        <v>57.979809313092204</v>
      </c>
      <c r="E41" s="16">
        <f t="shared" si="1"/>
        <v>-7.9798093130922041</v>
      </c>
      <c r="F41" s="16">
        <f t="shared" si="2"/>
        <v>63.677356673313071</v>
      </c>
    </row>
    <row r="42" spans="2:17" x14ac:dyDescent="0.35">
      <c r="B42" s="5">
        <v>180</v>
      </c>
      <c r="C42" s="5">
        <v>71</v>
      </c>
      <c r="D42" s="17">
        <f t="shared" si="0"/>
        <v>73.013978741938644</v>
      </c>
      <c r="E42" s="16">
        <f t="shared" si="1"/>
        <v>-2.0139787419386437</v>
      </c>
      <c r="F42" s="16">
        <f t="shared" si="2"/>
        <v>4.0561103729807622</v>
      </c>
      <c r="I42" s="7" t="s">
        <v>126</v>
      </c>
      <c r="J42" s="7"/>
      <c r="K42" s="27" t="s">
        <v>102</v>
      </c>
      <c r="L42" s="9" t="s">
        <v>5</v>
      </c>
      <c r="M42" s="28" t="s">
        <v>101</v>
      </c>
      <c r="N42" s="9" t="s">
        <v>5</v>
      </c>
      <c r="O42" s="28" t="s">
        <v>103</v>
      </c>
      <c r="P42" s="9" t="s">
        <v>5</v>
      </c>
      <c r="Q42" s="9"/>
    </row>
    <row r="43" spans="2:17" x14ac:dyDescent="0.35">
      <c r="B43" s="5">
        <v>171</v>
      </c>
      <c r="C43" s="5">
        <v>70</v>
      </c>
      <c r="D43" s="17">
        <f t="shared" si="0"/>
        <v>63.993477084630769</v>
      </c>
      <c r="E43" s="16">
        <f t="shared" si="1"/>
        <v>6.0065229153692314</v>
      </c>
      <c r="F43" s="16">
        <f t="shared" si="2"/>
        <v>36.078317532855692</v>
      </c>
      <c r="I43" s="7"/>
      <c r="J43" s="7" t="s">
        <v>14</v>
      </c>
      <c r="K43" s="27">
        <f>K29*194+M29</f>
        <v>87.04587020886197</v>
      </c>
      <c r="L43" s="9" t="s">
        <v>13</v>
      </c>
      <c r="M43" s="28">
        <f>M29+K29*180</f>
        <v>73.013978741938644</v>
      </c>
      <c r="N43" s="9" t="s">
        <v>104</v>
      </c>
      <c r="O43" s="29">
        <f>M29+K29*210</f>
        <v>103.08231759963147</v>
      </c>
      <c r="P43" s="9" t="s">
        <v>104</v>
      </c>
      <c r="Q43" s="9"/>
    </row>
    <row r="44" spans="2:17" x14ac:dyDescent="0.35">
      <c r="B44" s="5">
        <v>165</v>
      </c>
      <c r="C44" s="5">
        <v>60</v>
      </c>
      <c r="D44" s="17">
        <f t="shared" si="0"/>
        <v>57.979809313092204</v>
      </c>
      <c r="E44" s="16">
        <f t="shared" si="1"/>
        <v>2.0201906869077959</v>
      </c>
      <c r="F44" s="16">
        <f t="shared" si="2"/>
        <v>4.0811704114689924</v>
      </c>
      <c r="I44" s="7"/>
      <c r="J44" s="9"/>
      <c r="K44" s="9"/>
      <c r="L44" s="9"/>
      <c r="M44" s="9"/>
      <c r="N44" s="9"/>
      <c r="O44" s="9"/>
      <c r="P44" s="9"/>
      <c r="Q44" s="9"/>
    </row>
    <row r="45" spans="2:17" x14ac:dyDescent="0.35">
      <c r="B45" s="5">
        <v>186</v>
      </c>
      <c r="C45" s="5">
        <v>71</v>
      </c>
      <c r="D45" s="17">
        <f t="shared" si="0"/>
        <v>79.027646513477208</v>
      </c>
      <c r="E45" s="16">
        <f t="shared" si="1"/>
        <v>-8.0276465134772081</v>
      </c>
      <c r="F45" s="16">
        <f t="shared" si="2"/>
        <v>64.443108545342781</v>
      </c>
      <c r="I45" s="7"/>
      <c r="J45" s="9" t="s">
        <v>39</v>
      </c>
      <c r="K45" s="9"/>
      <c r="L45" s="9"/>
      <c r="M45" s="9"/>
      <c r="N45" s="9"/>
      <c r="O45" s="9"/>
      <c r="P45" s="9"/>
      <c r="Q45" s="9"/>
    </row>
    <row r="46" spans="2:17" x14ac:dyDescent="0.35">
      <c r="B46" s="6">
        <v>187</v>
      </c>
      <c r="C46" s="5">
        <v>82</v>
      </c>
      <c r="D46" s="17">
        <f t="shared" si="0"/>
        <v>80.029924475400293</v>
      </c>
      <c r="E46" s="16">
        <f t="shared" si="1"/>
        <v>1.9700755245997073</v>
      </c>
      <c r="F46" s="16">
        <f t="shared" si="2"/>
        <v>3.8811975726268115</v>
      </c>
      <c r="I46" s="9"/>
      <c r="J46" s="9" t="s">
        <v>131</v>
      </c>
      <c r="K46" s="9"/>
      <c r="L46" s="9"/>
      <c r="M46" s="9"/>
      <c r="N46" s="9"/>
      <c r="O46" s="9"/>
      <c r="P46" s="9"/>
      <c r="Q46" s="9"/>
    </row>
    <row r="47" spans="2:17" x14ac:dyDescent="0.35">
      <c r="B47" s="6">
        <v>175</v>
      </c>
      <c r="C47" s="5">
        <v>70</v>
      </c>
      <c r="D47" s="17">
        <f t="shared" si="0"/>
        <v>68.002588932323164</v>
      </c>
      <c r="E47" s="16">
        <f t="shared" si="1"/>
        <v>1.9974110676768362</v>
      </c>
      <c r="F47" s="16">
        <f t="shared" si="2"/>
        <v>3.9896509732779188</v>
      </c>
      <c r="I47" s="9"/>
      <c r="J47" s="9" t="s">
        <v>132</v>
      </c>
      <c r="K47" s="9"/>
      <c r="L47" s="9"/>
      <c r="M47" s="9"/>
      <c r="N47" s="9"/>
      <c r="O47" s="9"/>
      <c r="P47" s="9"/>
      <c r="Q47" s="9"/>
    </row>
    <row r="48" spans="2:17" x14ac:dyDescent="0.35">
      <c r="B48" s="6">
        <v>180</v>
      </c>
      <c r="C48" s="5">
        <v>71</v>
      </c>
      <c r="D48" s="17">
        <f t="shared" si="0"/>
        <v>73.013978741938644</v>
      </c>
      <c r="E48" s="16">
        <f t="shared" si="1"/>
        <v>-2.0139787419386437</v>
      </c>
      <c r="F48" s="16">
        <f t="shared" si="2"/>
        <v>4.0561103729807622</v>
      </c>
    </row>
    <row r="49" spans="2:16" x14ac:dyDescent="0.35">
      <c r="B49" s="6">
        <v>180</v>
      </c>
      <c r="C49" s="5">
        <v>70</v>
      </c>
      <c r="D49" s="17">
        <f t="shared" si="0"/>
        <v>73.013978741938644</v>
      </c>
      <c r="E49" s="16">
        <f t="shared" si="1"/>
        <v>-3.0139787419386437</v>
      </c>
      <c r="F49" s="16">
        <f t="shared" si="2"/>
        <v>9.0840678568580486</v>
      </c>
      <c r="P49" s="1" t="s">
        <v>130</v>
      </c>
    </row>
    <row r="50" spans="2:16" x14ac:dyDescent="0.35">
      <c r="B50" s="5">
        <v>168</v>
      </c>
      <c r="C50" s="5">
        <v>65</v>
      </c>
      <c r="D50" s="17">
        <f t="shared" si="0"/>
        <v>60.986643198861486</v>
      </c>
      <c r="E50" s="16">
        <f t="shared" si="1"/>
        <v>4.0133568011385137</v>
      </c>
      <c r="F50" s="16">
        <f t="shared" si="2"/>
        <v>16.107032813244764</v>
      </c>
    </row>
    <row r="51" spans="2:16" x14ac:dyDescent="0.35">
      <c r="B51" s="5">
        <v>190</v>
      </c>
      <c r="C51" s="5">
        <v>75</v>
      </c>
      <c r="D51" s="17">
        <f t="shared" si="0"/>
        <v>83.036758361169575</v>
      </c>
      <c r="E51" s="16">
        <f t="shared" si="1"/>
        <v>-8.036758361169575</v>
      </c>
      <c r="F51" s="16">
        <f t="shared" si="2"/>
        <v>64.589484955829079</v>
      </c>
    </row>
    <row r="52" spans="2:16" x14ac:dyDescent="0.35">
      <c r="B52" s="5">
        <v>187</v>
      </c>
      <c r="C52" s="5">
        <v>70</v>
      </c>
      <c r="D52" s="17">
        <f t="shared" si="0"/>
        <v>80.029924475400293</v>
      </c>
      <c r="E52" s="16">
        <f t="shared" si="1"/>
        <v>-10.029924475400293</v>
      </c>
      <c r="F52" s="16">
        <f t="shared" si="2"/>
        <v>100.59938498223384</v>
      </c>
    </row>
    <row r="53" spans="2:16" x14ac:dyDescent="0.35">
      <c r="B53" s="5">
        <v>169</v>
      </c>
      <c r="C53" s="5">
        <v>72</v>
      </c>
      <c r="D53" s="17">
        <f t="shared" si="0"/>
        <v>61.988921160784599</v>
      </c>
      <c r="E53" s="16">
        <f t="shared" si="1"/>
        <v>10.011078839215401</v>
      </c>
      <c r="F53" s="16">
        <f t="shared" si="2"/>
        <v>100.22169952498638</v>
      </c>
    </row>
    <row r="54" spans="2:16" x14ac:dyDescent="0.35">
      <c r="B54" s="5">
        <v>175</v>
      </c>
      <c r="C54" s="5">
        <v>73</v>
      </c>
      <c r="D54" s="17">
        <f t="shared" si="0"/>
        <v>68.002588932323164</v>
      </c>
      <c r="E54" s="16">
        <f t="shared" si="1"/>
        <v>4.9974110676768362</v>
      </c>
      <c r="F54" s="16">
        <f t="shared" si="2"/>
        <v>24.974117379338935</v>
      </c>
    </row>
    <row r="55" spans="2:16" x14ac:dyDescent="0.35">
      <c r="B55" s="5">
        <v>165</v>
      </c>
      <c r="C55" s="5">
        <v>75</v>
      </c>
      <c r="D55" s="17">
        <f t="shared" si="0"/>
        <v>57.979809313092204</v>
      </c>
      <c r="E55" s="16">
        <f t="shared" si="1"/>
        <v>17.020190686907796</v>
      </c>
      <c r="F55" s="16">
        <f t="shared" si="2"/>
        <v>289.68689101870285</v>
      </c>
    </row>
    <row r="56" spans="2:16" x14ac:dyDescent="0.35">
      <c r="B56" s="5">
        <v>176</v>
      </c>
      <c r="C56" s="5">
        <v>90</v>
      </c>
      <c r="D56" s="17">
        <f t="shared" si="0"/>
        <v>69.004866894246248</v>
      </c>
      <c r="E56" s="16">
        <f t="shared" si="1"/>
        <v>20.995133105753752</v>
      </c>
      <c r="F56" s="16">
        <f t="shared" si="2"/>
        <v>440.7956141283172</v>
      </c>
    </row>
    <row r="57" spans="2:16" x14ac:dyDescent="0.35">
      <c r="B57" s="5">
        <v>178</v>
      </c>
      <c r="C57" s="5">
        <v>67.5</v>
      </c>
      <c r="D57" s="17">
        <f t="shared" si="0"/>
        <v>71.009422818092446</v>
      </c>
      <c r="E57" s="16">
        <f t="shared" si="1"/>
        <v>-3.5094228180924461</v>
      </c>
      <c r="F57" s="16">
        <f t="shared" si="2"/>
        <v>12.316048516147927</v>
      </c>
    </row>
    <row r="58" spans="2:16" x14ac:dyDescent="0.35">
      <c r="B58" s="5">
        <v>165</v>
      </c>
      <c r="C58" s="5">
        <v>70</v>
      </c>
      <c r="D58" s="17">
        <f t="shared" si="0"/>
        <v>57.979809313092204</v>
      </c>
      <c r="E58" s="16">
        <f t="shared" si="1"/>
        <v>12.020190686907796</v>
      </c>
      <c r="F58" s="16">
        <f t="shared" si="2"/>
        <v>144.48498414962492</v>
      </c>
    </row>
    <row r="59" spans="2:16" x14ac:dyDescent="0.35">
      <c r="B59" s="5">
        <v>174</v>
      </c>
      <c r="C59" s="5">
        <v>70</v>
      </c>
      <c r="D59" s="17">
        <f t="shared" si="0"/>
        <v>67.000310970400079</v>
      </c>
      <c r="E59" s="16">
        <f t="shared" si="1"/>
        <v>2.9996890295999208</v>
      </c>
      <c r="F59" s="16">
        <f t="shared" si="2"/>
        <v>8.9981342743021138</v>
      </c>
    </row>
    <row r="60" spans="2:16" x14ac:dyDescent="0.35">
      <c r="B60" s="5">
        <v>175</v>
      </c>
      <c r="C60" s="5">
        <v>70</v>
      </c>
      <c r="D60" s="17">
        <f t="shared" si="0"/>
        <v>68.002588932323164</v>
      </c>
      <c r="E60" s="16">
        <f t="shared" si="1"/>
        <v>1.9974110676768362</v>
      </c>
      <c r="F60" s="16">
        <f t="shared" si="2"/>
        <v>3.9896509732779188</v>
      </c>
    </row>
    <row r="61" spans="2:16" x14ac:dyDescent="0.35">
      <c r="B61" s="6">
        <v>158</v>
      </c>
      <c r="C61" s="5">
        <v>45</v>
      </c>
      <c r="D61" s="17">
        <f t="shared" si="0"/>
        <v>50.963863579630555</v>
      </c>
      <c r="E61" s="16">
        <f t="shared" si="1"/>
        <v>-5.963863579630555</v>
      </c>
      <c r="F61" s="16">
        <f t="shared" si="2"/>
        <v>35.567668796443776</v>
      </c>
    </row>
    <row r="62" spans="2:16" x14ac:dyDescent="0.35">
      <c r="B62" s="6">
        <v>175</v>
      </c>
      <c r="C62" s="5">
        <v>80</v>
      </c>
      <c r="D62" s="17">
        <f t="shared" si="0"/>
        <v>68.002588932323164</v>
      </c>
      <c r="E62" s="16">
        <f t="shared" si="1"/>
        <v>11.997411067676836</v>
      </c>
      <c r="F62" s="16">
        <f t="shared" si="2"/>
        <v>143.93787232681464</v>
      </c>
    </row>
    <row r="63" spans="2:16" x14ac:dyDescent="0.35">
      <c r="B63" s="6">
        <v>190</v>
      </c>
      <c r="C63" s="5">
        <v>80</v>
      </c>
      <c r="D63" s="17">
        <f t="shared" si="0"/>
        <v>83.036758361169575</v>
      </c>
      <c r="E63" s="16">
        <f t="shared" si="1"/>
        <v>-3.036758361169575</v>
      </c>
      <c r="F63" s="16">
        <f t="shared" si="2"/>
        <v>9.2219013441333235</v>
      </c>
    </row>
    <row r="64" spans="2:16" x14ac:dyDescent="0.35">
      <c r="B64" s="6">
        <v>178</v>
      </c>
      <c r="C64" s="5">
        <v>72</v>
      </c>
      <c r="D64" s="17">
        <f t="shared" si="0"/>
        <v>71.009422818092446</v>
      </c>
      <c r="E64" s="16">
        <f t="shared" si="1"/>
        <v>0.99057718190755395</v>
      </c>
      <c r="F64" s="16">
        <f t="shared" si="2"/>
        <v>0.98124315331591128</v>
      </c>
    </row>
    <row r="65" spans="2:6" x14ac:dyDescent="0.35">
      <c r="B65" s="6">
        <v>166</v>
      </c>
      <c r="C65" s="5">
        <v>62</v>
      </c>
      <c r="D65" s="17">
        <f t="shared" si="0"/>
        <v>58.982087275015317</v>
      </c>
      <c r="E65" s="16">
        <f t="shared" si="1"/>
        <v>3.0179127249846829</v>
      </c>
      <c r="F65" s="16">
        <f t="shared" si="2"/>
        <v>9.1077972156244744</v>
      </c>
    </row>
    <row r="66" spans="2:6" x14ac:dyDescent="0.35">
      <c r="B66" s="6">
        <v>180</v>
      </c>
      <c r="C66" s="5">
        <v>82</v>
      </c>
      <c r="D66" s="17">
        <f t="shared" si="0"/>
        <v>73.013978741938644</v>
      </c>
      <c r="E66" s="16">
        <f t="shared" si="1"/>
        <v>8.9860212580613563</v>
      </c>
      <c r="F66" s="16">
        <f t="shared" si="2"/>
        <v>80.748578050330607</v>
      </c>
    </row>
    <row r="67" spans="2:6" x14ac:dyDescent="0.35">
      <c r="B67" s="6">
        <v>189</v>
      </c>
      <c r="C67" s="5">
        <v>85</v>
      </c>
      <c r="D67" s="17">
        <f t="shared" si="0"/>
        <v>82.03448039924649</v>
      </c>
      <c r="E67" s="16">
        <f t="shared" si="1"/>
        <v>2.9655196007535096</v>
      </c>
      <c r="F67" s="16">
        <f t="shared" si="2"/>
        <v>8.7943065024532547</v>
      </c>
    </row>
    <row r="68" spans="2:6" x14ac:dyDescent="0.35">
      <c r="B68" s="6">
        <v>190</v>
      </c>
      <c r="C68" s="5">
        <v>75</v>
      </c>
      <c r="D68" s="17">
        <f t="shared" ref="D68:D131" si="3">$M$29+$K$29*B68</f>
        <v>83.036758361169575</v>
      </c>
      <c r="E68" s="16">
        <f t="shared" si="1"/>
        <v>-8.036758361169575</v>
      </c>
      <c r="F68" s="16">
        <f t="shared" si="2"/>
        <v>64.589484955829079</v>
      </c>
    </row>
    <row r="69" spans="2:6" x14ac:dyDescent="0.35">
      <c r="B69" s="6">
        <v>168</v>
      </c>
      <c r="C69" s="5">
        <v>61</v>
      </c>
      <c r="D69" s="17">
        <f t="shared" si="3"/>
        <v>60.986643198861486</v>
      </c>
      <c r="E69" s="16">
        <f t="shared" ref="E69:E132" si="4">C69-D69</f>
        <v>1.3356801138513674E-2</v>
      </c>
      <c r="F69" s="16">
        <f t="shared" ref="F69:F132" si="5">E69^2</f>
        <v>1.7840413665380018E-4</v>
      </c>
    </row>
    <row r="70" spans="2:6" x14ac:dyDescent="0.35">
      <c r="B70" s="6">
        <v>180</v>
      </c>
      <c r="C70" s="5">
        <v>85</v>
      </c>
      <c r="D70" s="17">
        <f t="shared" si="3"/>
        <v>73.013978741938644</v>
      </c>
      <c r="E70" s="16">
        <f t="shared" si="4"/>
        <v>11.986021258061356</v>
      </c>
      <c r="F70" s="16">
        <f t="shared" si="5"/>
        <v>143.66470559869873</v>
      </c>
    </row>
    <row r="71" spans="2:6" x14ac:dyDescent="0.35">
      <c r="B71" s="6">
        <v>182</v>
      </c>
      <c r="C71" s="5">
        <v>80</v>
      </c>
      <c r="D71" s="17">
        <f t="shared" si="3"/>
        <v>75.018534665784813</v>
      </c>
      <c r="E71" s="16">
        <f t="shared" si="4"/>
        <v>4.9814653342151871</v>
      </c>
      <c r="F71" s="16">
        <f t="shared" si="5"/>
        <v>24.814996875987624</v>
      </c>
    </row>
    <row r="72" spans="2:6" x14ac:dyDescent="0.35">
      <c r="B72" s="6">
        <v>180</v>
      </c>
      <c r="C72" s="5">
        <v>85</v>
      </c>
      <c r="D72" s="17">
        <f t="shared" si="3"/>
        <v>73.013978741938644</v>
      </c>
      <c r="E72" s="16">
        <f t="shared" si="4"/>
        <v>11.986021258061356</v>
      </c>
      <c r="F72" s="16">
        <f t="shared" si="5"/>
        <v>143.66470559869873</v>
      </c>
    </row>
    <row r="73" spans="2:6" x14ac:dyDescent="0.35">
      <c r="B73" s="6">
        <v>175</v>
      </c>
      <c r="C73" s="5">
        <v>62</v>
      </c>
      <c r="D73" s="17">
        <f t="shared" si="3"/>
        <v>68.002588932323164</v>
      </c>
      <c r="E73" s="16">
        <f t="shared" si="4"/>
        <v>-6.0025889323231638</v>
      </c>
      <c r="F73" s="16">
        <f t="shared" si="5"/>
        <v>36.031073890448539</v>
      </c>
    </row>
    <row r="74" spans="2:6" x14ac:dyDescent="0.35">
      <c r="B74" s="6">
        <v>183</v>
      </c>
      <c r="C74" s="5">
        <v>80</v>
      </c>
      <c r="D74" s="17">
        <f t="shared" si="3"/>
        <v>76.020812627707926</v>
      </c>
      <c r="E74" s="16">
        <f t="shared" si="4"/>
        <v>3.9791873722920741</v>
      </c>
      <c r="F74" s="16">
        <f t="shared" si="5"/>
        <v>15.833932143808701</v>
      </c>
    </row>
    <row r="75" spans="2:6" x14ac:dyDescent="0.35">
      <c r="B75" s="6">
        <v>180</v>
      </c>
      <c r="C75" s="5">
        <v>85</v>
      </c>
      <c r="D75" s="17">
        <f t="shared" si="3"/>
        <v>73.013978741938644</v>
      </c>
      <c r="E75" s="16">
        <f t="shared" si="4"/>
        <v>11.986021258061356</v>
      </c>
      <c r="F75" s="16">
        <f t="shared" si="5"/>
        <v>143.66470559869873</v>
      </c>
    </row>
    <row r="76" spans="2:6" x14ac:dyDescent="0.35">
      <c r="B76" s="5">
        <v>175</v>
      </c>
      <c r="C76" s="5">
        <v>75</v>
      </c>
      <c r="D76" s="17">
        <f t="shared" si="3"/>
        <v>68.002588932323164</v>
      </c>
      <c r="E76" s="16">
        <f t="shared" si="4"/>
        <v>6.9974110676768362</v>
      </c>
      <c r="F76" s="16">
        <f t="shared" si="5"/>
        <v>48.96376165004628</v>
      </c>
    </row>
    <row r="77" spans="2:6" x14ac:dyDescent="0.35">
      <c r="B77" s="5">
        <v>180</v>
      </c>
      <c r="C77" s="5">
        <v>72</v>
      </c>
      <c r="D77" s="17">
        <f t="shared" si="3"/>
        <v>73.013978741938644</v>
      </c>
      <c r="E77" s="16">
        <f t="shared" si="4"/>
        <v>-1.0139787419386437</v>
      </c>
      <c r="F77" s="16">
        <f t="shared" si="5"/>
        <v>1.0281528891034746</v>
      </c>
    </row>
    <row r="78" spans="2:6" x14ac:dyDescent="0.35">
      <c r="B78" s="5">
        <v>175</v>
      </c>
      <c r="C78" s="5">
        <v>68</v>
      </c>
      <c r="D78" s="17">
        <f t="shared" si="3"/>
        <v>68.002588932323164</v>
      </c>
      <c r="E78" s="16">
        <f t="shared" si="4"/>
        <v>-2.5889323231638173E-3</v>
      </c>
      <c r="F78" s="16">
        <f t="shared" si="5"/>
        <v>6.7025705739224001E-6</v>
      </c>
    </row>
    <row r="79" spans="2:6" x14ac:dyDescent="0.35">
      <c r="B79" s="6">
        <v>180</v>
      </c>
      <c r="C79" s="5">
        <v>72</v>
      </c>
      <c r="D79" s="17">
        <f t="shared" si="3"/>
        <v>73.013978741938644</v>
      </c>
      <c r="E79" s="16">
        <f t="shared" si="4"/>
        <v>-1.0139787419386437</v>
      </c>
      <c r="F79" s="16">
        <f t="shared" si="5"/>
        <v>1.0281528891034746</v>
      </c>
    </row>
    <row r="80" spans="2:6" x14ac:dyDescent="0.35">
      <c r="B80" s="6">
        <v>180</v>
      </c>
      <c r="C80" s="5">
        <v>70</v>
      </c>
      <c r="D80" s="17">
        <f t="shared" si="3"/>
        <v>73.013978741938644</v>
      </c>
      <c r="E80" s="16">
        <f t="shared" si="4"/>
        <v>-3.0139787419386437</v>
      </c>
      <c r="F80" s="16">
        <f t="shared" si="5"/>
        <v>9.0840678568580486</v>
      </c>
    </row>
    <row r="81" spans="2:6" x14ac:dyDescent="0.35">
      <c r="B81" s="6">
        <v>162</v>
      </c>
      <c r="C81" s="5">
        <v>56</v>
      </c>
      <c r="D81" s="17">
        <f t="shared" si="3"/>
        <v>54.972975427322922</v>
      </c>
      <c r="E81" s="16">
        <f t="shared" si="4"/>
        <v>1.0270245726770781</v>
      </c>
      <c r="F81" s="16">
        <f t="shared" si="5"/>
        <v>1.054779472882535</v>
      </c>
    </row>
    <row r="82" spans="2:6" x14ac:dyDescent="0.35">
      <c r="B82" s="6">
        <v>186</v>
      </c>
      <c r="C82" s="5">
        <v>90</v>
      </c>
      <c r="D82" s="17">
        <f t="shared" si="3"/>
        <v>79.027646513477208</v>
      </c>
      <c r="E82" s="16">
        <f t="shared" si="4"/>
        <v>10.972353486522792</v>
      </c>
      <c r="F82" s="16">
        <f t="shared" si="5"/>
        <v>120.39254103320887</v>
      </c>
    </row>
    <row r="83" spans="2:6" x14ac:dyDescent="0.35">
      <c r="B83" s="6">
        <v>168</v>
      </c>
      <c r="C83" s="5">
        <v>55</v>
      </c>
      <c r="D83" s="17">
        <f t="shared" si="3"/>
        <v>60.986643198861486</v>
      </c>
      <c r="E83" s="16">
        <f t="shared" si="4"/>
        <v>-5.9866431988614863</v>
      </c>
      <c r="F83" s="16">
        <f t="shared" si="5"/>
        <v>35.839896790474491</v>
      </c>
    </row>
    <row r="84" spans="2:6" x14ac:dyDescent="0.35">
      <c r="B84" s="6">
        <v>181</v>
      </c>
      <c r="C84" s="5">
        <v>75</v>
      </c>
      <c r="D84" s="17">
        <f t="shared" si="3"/>
        <v>74.016256703861728</v>
      </c>
      <c r="E84" s="16">
        <f t="shared" si="4"/>
        <v>0.98374329613827172</v>
      </c>
      <c r="F84" s="16">
        <f t="shared" si="5"/>
        <v>0.96775087269699134</v>
      </c>
    </row>
    <row r="85" spans="2:6" x14ac:dyDescent="0.35">
      <c r="B85" s="6">
        <v>158</v>
      </c>
      <c r="C85" s="5">
        <v>60</v>
      </c>
      <c r="D85" s="17">
        <f t="shared" si="3"/>
        <v>50.963863579630555</v>
      </c>
      <c r="E85" s="16">
        <f t="shared" si="4"/>
        <v>9.036136420369445</v>
      </c>
      <c r="F85" s="16">
        <f t="shared" si="5"/>
        <v>81.651761407527133</v>
      </c>
    </row>
    <row r="86" spans="2:6" x14ac:dyDescent="0.35">
      <c r="B86" s="6">
        <v>178</v>
      </c>
      <c r="C86" s="5">
        <v>70</v>
      </c>
      <c r="D86" s="17">
        <f t="shared" si="3"/>
        <v>71.009422818092446</v>
      </c>
      <c r="E86" s="16">
        <f t="shared" si="4"/>
        <v>-1.0094228180924461</v>
      </c>
      <c r="F86" s="16">
        <f t="shared" si="5"/>
        <v>1.0189344256856954</v>
      </c>
    </row>
    <row r="87" spans="2:6" x14ac:dyDescent="0.35">
      <c r="B87" s="6">
        <v>175</v>
      </c>
      <c r="C87" s="5">
        <v>72</v>
      </c>
      <c r="D87" s="17">
        <f t="shared" si="3"/>
        <v>68.002588932323164</v>
      </c>
      <c r="E87" s="16">
        <f t="shared" si="4"/>
        <v>3.9974110676768362</v>
      </c>
      <c r="F87" s="16">
        <f t="shared" si="5"/>
        <v>15.979295243985263</v>
      </c>
    </row>
    <row r="88" spans="2:6" x14ac:dyDescent="0.35">
      <c r="B88" s="6">
        <v>162</v>
      </c>
      <c r="C88" s="5">
        <v>44</v>
      </c>
      <c r="D88" s="17">
        <f t="shared" si="3"/>
        <v>54.972975427322922</v>
      </c>
      <c r="E88" s="16">
        <f t="shared" si="4"/>
        <v>-10.972975427322922</v>
      </c>
      <c r="F88" s="16">
        <f t="shared" si="5"/>
        <v>120.40618972863265</v>
      </c>
    </row>
    <row r="89" spans="2:6" x14ac:dyDescent="0.35">
      <c r="B89" s="6">
        <v>158</v>
      </c>
      <c r="C89" s="5">
        <v>51</v>
      </c>
      <c r="D89" s="17">
        <f t="shared" si="3"/>
        <v>50.963863579630555</v>
      </c>
      <c r="E89" s="16">
        <f t="shared" si="4"/>
        <v>3.6136420369444977E-2</v>
      </c>
      <c r="F89" s="16">
        <f t="shared" si="5"/>
        <v>1.305840877117238E-3</v>
      </c>
    </row>
    <row r="90" spans="2:6" x14ac:dyDescent="0.35">
      <c r="B90" s="6">
        <v>176</v>
      </c>
      <c r="C90" s="5">
        <v>60</v>
      </c>
      <c r="D90" s="17">
        <f t="shared" si="3"/>
        <v>69.004866894246248</v>
      </c>
      <c r="E90" s="16">
        <f t="shared" si="4"/>
        <v>-9.0048668942462484</v>
      </c>
      <c r="F90" s="16">
        <f t="shared" si="5"/>
        <v>81.087627783092074</v>
      </c>
    </row>
    <row r="91" spans="2:6" x14ac:dyDescent="0.35">
      <c r="B91" s="6">
        <v>172</v>
      </c>
      <c r="C91" s="5">
        <v>63</v>
      </c>
      <c r="D91" s="17">
        <f t="shared" si="3"/>
        <v>64.995755046553882</v>
      </c>
      <c r="E91" s="16">
        <f t="shared" si="4"/>
        <v>-1.9957550465538816</v>
      </c>
      <c r="F91" s="16">
        <f t="shared" si="5"/>
        <v>3.9830382058452862</v>
      </c>
    </row>
    <row r="92" spans="2:6" x14ac:dyDescent="0.35">
      <c r="B92" s="6">
        <v>180</v>
      </c>
      <c r="C92" s="5">
        <v>63</v>
      </c>
      <c r="D92" s="17">
        <f t="shared" si="3"/>
        <v>73.013978741938644</v>
      </c>
      <c r="E92" s="16">
        <f t="shared" si="4"/>
        <v>-10.013978741938644</v>
      </c>
      <c r="F92" s="16">
        <f t="shared" si="5"/>
        <v>100.27977024399907</v>
      </c>
    </row>
    <row r="93" spans="2:6" x14ac:dyDescent="0.35">
      <c r="B93" s="6">
        <v>171</v>
      </c>
      <c r="C93" s="5">
        <v>62</v>
      </c>
      <c r="D93" s="17">
        <f t="shared" si="3"/>
        <v>63.993477084630769</v>
      </c>
      <c r="E93" s="16">
        <f t="shared" si="4"/>
        <v>-1.9934770846307686</v>
      </c>
      <c r="F93" s="16">
        <f t="shared" si="5"/>
        <v>3.9739508869479883</v>
      </c>
    </row>
    <row r="94" spans="2:6" x14ac:dyDescent="0.35">
      <c r="B94" s="6">
        <v>165</v>
      </c>
      <c r="C94" s="5">
        <v>54</v>
      </c>
      <c r="D94" s="17">
        <f t="shared" si="3"/>
        <v>57.979809313092204</v>
      </c>
      <c r="E94" s="16">
        <f t="shared" si="4"/>
        <v>-3.9798093130922041</v>
      </c>
      <c r="F94" s="16">
        <f t="shared" si="5"/>
        <v>15.838882168575442</v>
      </c>
    </row>
    <row r="95" spans="2:6" x14ac:dyDescent="0.35">
      <c r="B95" s="6">
        <v>182</v>
      </c>
      <c r="C95" s="5">
        <v>65</v>
      </c>
      <c r="D95" s="17">
        <f t="shared" si="3"/>
        <v>75.018534665784813</v>
      </c>
      <c r="E95" s="16">
        <f t="shared" si="4"/>
        <v>-10.018534665784813</v>
      </c>
      <c r="F95" s="16">
        <f t="shared" si="5"/>
        <v>100.37103684953202</v>
      </c>
    </row>
    <row r="96" spans="2:6" x14ac:dyDescent="0.35">
      <c r="B96" s="6">
        <v>165</v>
      </c>
      <c r="C96" s="5">
        <v>65</v>
      </c>
      <c r="D96" s="17">
        <f t="shared" si="3"/>
        <v>57.979809313092204</v>
      </c>
      <c r="E96" s="16">
        <f t="shared" si="4"/>
        <v>7.0201906869077959</v>
      </c>
      <c r="F96" s="16">
        <f t="shared" si="5"/>
        <v>49.283077280546948</v>
      </c>
    </row>
    <row r="97" spans="2:6" x14ac:dyDescent="0.35">
      <c r="B97" s="6">
        <v>165</v>
      </c>
      <c r="C97" s="5">
        <v>57</v>
      </c>
      <c r="D97" s="17">
        <f t="shared" si="3"/>
        <v>57.979809313092204</v>
      </c>
      <c r="E97" s="16">
        <f t="shared" si="4"/>
        <v>-0.97980931309220409</v>
      </c>
      <c r="F97" s="16">
        <f t="shared" si="5"/>
        <v>0.96002629002221684</v>
      </c>
    </row>
    <row r="98" spans="2:6" x14ac:dyDescent="0.35">
      <c r="B98" s="5">
        <v>185</v>
      </c>
      <c r="C98" s="5">
        <v>57</v>
      </c>
      <c r="D98" s="17">
        <f t="shared" si="3"/>
        <v>78.025368551554095</v>
      </c>
      <c r="E98" s="16">
        <f t="shared" si="4"/>
        <v>-21.025368551554095</v>
      </c>
      <c r="F98" s="16">
        <f t="shared" si="5"/>
        <v>442.06612272867994</v>
      </c>
    </row>
    <row r="99" spans="2:6" x14ac:dyDescent="0.35">
      <c r="B99" s="5">
        <v>165</v>
      </c>
      <c r="C99" s="5">
        <v>50</v>
      </c>
      <c r="D99" s="17">
        <f t="shared" si="3"/>
        <v>57.979809313092204</v>
      </c>
      <c r="E99" s="16">
        <f t="shared" si="4"/>
        <v>-7.9798093130922041</v>
      </c>
      <c r="F99" s="16">
        <f t="shared" si="5"/>
        <v>63.677356673313071</v>
      </c>
    </row>
    <row r="100" spans="2:6" x14ac:dyDescent="0.35">
      <c r="B100" s="5">
        <v>173</v>
      </c>
      <c r="C100" s="5">
        <v>67</v>
      </c>
      <c r="D100" s="17">
        <f t="shared" si="3"/>
        <v>65.998033008476966</v>
      </c>
      <c r="E100" s="16">
        <f t="shared" si="4"/>
        <v>1.0019669915230338</v>
      </c>
      <c r="F100" s="16">
        <f t="shared" si="5"/>
        <v>1.0039378521017193</v>
      </c>
    </row>
    <row r="101" spans="2:6" x14ac:dyDescent="0.35">
      <c r="B101" s="5">
        <v>170</v>
      </c>
      <c r="C101" s="5">
        <v>72</v>
      </c>
      <c r="D101" s="17">
        <f t="shared" si="3"/>
        <v>62.991199122707684</v>
      </c>
      <c r="E101" s="16">
        <f t="shared" si="4"/>
        <v>9.008800877292316</v>
      </c>
      <c r="F101" s="16">
        <f t="shared" si="5"/>
        <v>81.158493246702804</v>
      </c>
    </row>
    <row r="102" spans="2:6" x14ac:dyDescent="0.35">
      <c r="B102" s="5">
        <v>189</v>
      </c>
      <c r="C102" s="5">
        <v>79</v>
      </c>
      <c r="D102" s="17">
        <f t="shared" si="3"/>
        <v>82.03448039924649</v>
      </c>
      <c r="E102" s="16">
        <f t="shared" si="4"/>
        <v>-3.0344803992464904</v>
      </c>
      <c r="F102" s="16">
        <f t="shared" si="5"/>
        <v>9.2080712934111393</v>
      </c>
    </row>
    <row r="103" spans="2:6" x14ac:dyDescent="0.35">
      <c r="B103" s="5">
        <v>170</v>
      </c>
      <c r="C103" s="5">
        <v>64</v>
      </c>
      <c r="D103" s="17">
        <f t="shared" si="3"/>
        <v>62.991199122707684</v>
      </c>
      <c r="E103" s="16">
        <f t="shared" si="4"/>
        <v>1.008800877292316</v>
      </c>
      <c r="F103" s="16">
        <f t="shared" si="5"/>
        <v>1.0176792100257466</v>
      </c>
    </row>
    <row r="104" spans="2:6" x14ac:dyDescent="0.35">
      <c r="B104" s="5">
        <v>185</v>
      </c>
      <c r="C104" s="5">
        <v>95</v>
      </c>
      <c r="D104" s="17">
        <f t="shared" si="3"/>
        <v>78.025368551554095</v>
      </c>
      <c r="E104" s="16">
        <f t="shared" si="4"/>
        <v>16.974631448445905</v>
      </c>
      <c r="F104" s="16">
        <f t="shared" si="5"/>
        <v>288.13811281056871</v>
      </c>
    </row>
    <row r="105" spans="2:6" x14ac:dyDescent="0.35">
      <c r="B105" s="5">
        <v>165</v>
      </c>
      <c r="C105" s="5">
        <v>58</v>
      </c>
      <c r="D105" s="17">
        <f t="shared" si="3"/>
        <v>57.979809313092204</v>
      </c>
      <c r="E105" s="16">
        <f t="shared" si="4"/>
        <v>2.0190686907795907E-2</v>
      </c>
      <c r="F105" s="16">
        <f t="shared" si="5"/>
        <v>4.0766383780864104E-4</v>
      </c>
    </row>
    <row r="106" spans="2:6" x14ac:dyDescent="0.35">
      <c r="B106" s="5">
        <v>189</v>
      </c>
      <c r="C106" s="5">
        <v>83</v>
      </c>
      <c r="D106" s="17">
        <f t="shared" si="3"/>
        <v>82.03448039924649</v>
      </c>
      <c r="E106" s="16">
        <f t="shared" si="4"/>
        <v>0.96551960075350962</v>
      </c>
      <c r="F106" s="16">
        <f t="shared" si="5"/>
        <v>0.93222809943921658</v>
      </c>
    </row>
    <row r="107" spans="2:6" x14ac:dyDescent="0.35">
      <c r="B107" s="5">
        <v>180</v>
      </c>
      <c r="C107" s="5">
        <v>75</v>
      </c>
      <c r="D107" s="17">
        <f t="shared" si="3"/>
        <v>73.013978741938644</v>
      </c>
      <c r="E107" s="16">
        <f t="shared" si="4"/>
        <v>1.9860212580613563</v>
      </c>
      <c r="F107" s="16">
        <f t="shared" si="5"/>
        <v>3.9442804374716123</v>
      </c>
    </row>
    <row r="108" spans="2:6" x14ac:dyDescent="0.35">
      <c r="B108" s="5">
        <v>192</v>
      </c>
      <c r="C108" s="5">
        <v>83</v>
      </c>
      <c r="D108" s="17">
        <f t="shared" si="3"/>
        <v>85.041314285015773</v>
      </c>
      <c r="E108" s="16">
        <f t="shared" si="4"/>
        <v>-2.0413142850157726</v>
      </c>
      <c r="F108" s="16">
        <f t="shared" si="5"/>
        <v>4.1669640102094547</v>
      </c>
    </row>
    <row r="109" spans="2:6" x14ac:dyDescent="0.35">
      <c r="B109" s="5">
        <v>193</v>
      </c>
      <c r="C109" s="5">
        <v>85</v>
      </c>
      <c r="D109" s="17">
        <f t="shared" si="3"/>
        <v>86.043592246938857</v>
      </c>
      <c r="E109" s="16">
        <f t="shared" si="4"/>
        <v>-1.0435922469388572</v>
      </c>
      <c r="F109" s="16">
        <f t="shared" si="5"/>
        <v>1.0890847778708928</v>
      </c>
    </row>
    <row r="110" spans="2:6" x14ac:dyDescent="0.35">
      <c r="B110" s="5">
        <v>165</v>
      </c>
      <c r="C110" s="5">
        <v>56</v>
      </c>
      <c r="D110" s="17">
        <f t="shared" si="3"/>
        <v>57.979809313092204</v>
      </c>
      <c r="E110" s="16">
        <f t="shared" si="4"/>
        <v>-1.9798093130922041</v>
      </c>
      <c r="F110" s="16">
        <f t="shared" si="5"/>
        <v>3.9196449162066251</v>
      </c>
    </row>
    <row r="111" spans="2:6" x14ac:dyDescent="0.35">
      <c r="B111" s="5">
        <v>170</v>
      </c>
      <c r="C111" s="5">
        <v>60</v>
      </c>
      <c r="D111" s="17">
        <f t="shared" si="3"/>
        <v>62.991199122707684</v>
      </c>
      <c r="E111" s="16">
        <f t="shared" si="4"/>
        <v>-2.991199122707684</v>
      </c>
      <c r="F111" s="16">
        <f t="shared" si="5"/>
        <v>8.9472721916872189</v>
      </c>
    </row>
    <row r="112" spans="2:6" x14ac:dyDescent="0.35">
      <c r="B112" s="5">
        <v>167</v>
      </c>
      <c r="C112" s="5">
        <v>59</v>
      </c>
      <c r="D112" s="17">
        <f t="shared" si="3"/>
        <v>59.984365236938402</v>
      </c>
      <c r="E112" s="16">
        <f t="shared" si="4"/>
        <v>-0.98436523693840172</v>
      </c>
      <c r="F112" s="16">
        <f t="shared" si="5"/>
        <v>0.96897491969279581</v>
      </c>
    </row>
    <row r="113" spans="2:6" x14ac:dyDescent="0.35">
      <c r="B113" s="5">
        <v>170</v>
      </c>
      <c r="C113" s="5">
        <v>90</v>
      </c>
      <c r="D113" s="17">
        <f t="shared" si="3"/>
        <v>62.991199122707684</v>
      </c>
      <c r="E113" s="16">
        <f t="shared" si="4"/>
        <v>27.008800877292316</v>
      </c>
      <c r="F113" s="16">
        <f t="shared" si="5"/>
        <v>729.47532482922622</v>
      </c>
    </row>
    <row r="114" spans="2:6" x14ac:dyDescent="0.35">
      <c r="B114" s="5">
        <v>168</v>
      </c>
      <c r="C114" s="5">
        <v>58</v>
      </c>
      <c r="D114" s="17">
        <f t="shared" si="3"/>
        <v>60.986643198861486</v>
      </c>
      <c r="E114" s="16">
        <f t="shared" si="4"/>
        <v>-2.9866431988614863</v>
      </c>
      <c r="F114" s="16">
        <f t="shared" si="5"/>
        <v>8.920037597305571</v>
      </c>
    </row>
    <row r="115" spans="2:6" x14ac:dyDescent="0.35">
      <c r="B115" s="5">
        <v>169</v>
      </c>
      <c r="C115" s="5">
        <v>51</v>
      </c>
      <c r="D115" s="17">
        <f t="shared" si="3"/>
        <v>61.988921160784599</v>
      </c>
      <c r="E115" s="16">
        <f t="shared" si="4"/>
        <v>-10.988921160784599</v>
      </c>
      <c r="F115" s="16">
        <f t="shared" si="5"/>
        <v>120.75638827793955</v>
      </c>
    </row>
    <row r="116" spans="2:6" x14ac:dyDescent="0.35">
      <c r="B116" s="5">
        <v>170</v>
      </c>
      <c r="C116" s="5">
        <v>70</v>
      </c>
      <c r="D116" s="17">
        <f t="shared" si="3"/>
        <v>62.991199122707684</v>
      </c>
      <c r="E116" s="16">
        <f t="shared" si="4"/>
        <v>7.008800877292316</v>
      </c>
      <c r="F116" s="16">
        <f t="shared" si="5"/>
        <v>49.12328973753354</v>
      </c>
    </row>
    <row r="117" spans="2:6" x14ac:dyDescent="0.35">
      <c r="B117" s="5">
        <v>176</v>
      </c>
      <c r="C117" s="5">
        <v>75</v>
      </c>
      <c r="D117" s="17">
        <f t="shared" si="3"/>
        <v>69.004866894246248</v>
      </c>
      <c r="E117" s="16">
        <f t="shared" si="4"/>
        <v>5.9951331057537516</v>
      </c>
      <c r="F117" s="16">
        <f t="shared" si="5"/>
        <v>35.941620955704622</v>
      </c>
    </row>
    <row r="118" spans="2:6" x14ac:dyDescent="0.35">
      <c r="B118" s="5">
        <v>173</v>
      </c>
      <c r="C118" s="5">
        <v>67</v>
      </c>
      <c r="D118" s="17">
        <f t="shared" si="3"/>
        <v>65.998033008476966</v>
      </c>
      <c r="E118" s="16">
        <f t="shared" si="4"/>
        <v>1.0019669915230338</v>
      </c>
      <c r="F118" s="16">
        <f t="shared" si="5"/>
        <v>1.0039378521017193</v>
      </c>
    </row>
    <row r="119" spans="2:6" x14ac:dyDescent="0.35">
      <c r="B119" s="5">
        <v>163</v>
      </c>
      <c r="C119" s="5">
        <v>45</v>
      </c>
      <c r="D119" s="17">
        <f t="shared" si="3"/>
        <v>55.975253389246035</v>
      </c>
      <c r="E119" s="16">
        <f t="shared" si="4"/>
        <v>-10.975253389246035</v>
      </c>
      <c r="F119" s="16">
        <f t="shared" si="5"/>
        <v>120.45618695815658</v>
      </c>
    </row>
    <row r="120" spans="2:6" x14ac:dyDescent="0.35">
      <c r="B120" s="5">
        <v>162</v>
      </c>
      <c r="C120" s="5">
        <v>47</v>
      </c>
      <c r="D120" s="17">
        <f t="shared" si="3"/>
        <v>54.972975427322922</v>
      </c>
      <c r="E120" s="16">
        <f t="shared" si="4"/>
        <v>-7.9729754273229219</v>
      </c>
      <c r="F120" s="16">
        <f t="shared" si="5"/>
        <v>63.56833716469513</v>
      </c>
    </row>
    <row r="121" spans="2:6" x14ac:dyDescent="0.35">
      <c r="B121" s="5">
        <v>150</v>
      </c>
      <c r="C121" s="5">
        <v>50</v>
      </c>
      <c r="D121" s="17">
        <f t="shared" si="3"/>
        <v>42.945639884245793</v>
      </c>
      <c r="E121" s="16">
        <f t="shared" si="4"/>
        <v>7.0543601157542071</v>
      </c>
      <c r="F121" s="16">
        <f t="shared" si="5"/>
        <v>49.763996642743713</v>
      </c>
    </row>
    <row r="122" spans="2:6" x14ac:dyDescent="0.35">
      <c r="B122" s="5">
        <v>175</v>
      </c>
      <c r="C122" s="5">
        <v>72</v>
      </c>
      <c r="D122" s="17">
        <f t="shared" si="3"/>
        <v>68.002588932323164</v>
      </c>
      <c r="E122" s="16">
        <f t="shared" si="4"/>
        <v>3.9974110676768362</v>
      </c>
      <c r="F122" s="16">
        <f t="shared" si="5"/>
        <v>15.979295243985263</v>
      </c>
    </row>
    <row r="123" spans="2:6" x14ac:dyDescent="0.35">
      <c r="B123" s="5">
        <v>183</v>
      </c>
      <c r="C123" s="5">
        <v>65</v>
      </c>
      <c r="D123" s="17">
        <f t="shared" si="3"/>
        <v>76.020812627707926</v>
      </c>
      <c r="E123" s="16">
        <f t="shared" si="4"/>
        <v>-11.020812627707926</v>
      </c>
      <c r="F123" s="16">
        <f t="shared" si="5"/>
        <v>121.45831097504647</v>
      </c>
    </row>
    <row r="124" spans="2:6" x14ac:dyDescent="0.35">
      <c r="B124" s="5">
        <v>167</v>
      </c>
      <c r="C124" s="5">
        <v>65</v>
      </c>
      <c r="D124" s="17">
        <f t="shared" si="3"/>
        <v>59.984365236938402</v>
      </c>
      <c r="E124" s="16">
        <f t="shared" si="4"/>
        <v>5.0156347630615983</v>
      </c>
      <c r="F124" s="16">
        <f t="shared" si="5"/>
        <v>25.156592076431973</v>
      </c>
    </row>
    <row r="125" spans="2:6" x14ac:dyDescent="0.35">
      <c r="B125" s="5">
        <v>170</v>
      </c>
      <c r="C125" s="5">
        <v>58</v>
      </c>
      <c r="D125" s="17">
        <f t="shared" si="3"/>
        <v>62.991199122707684</v>
      </c>
      <c r="E125" s="16">
        <f t="shared" si="4"/>
        <v>-4.991199122707684</v>
      </c>
      <c r="F125" s="16">
        <f t="shared" si="5"/>
        <v>24.912068682517955</v>
      </c>
    </row>
    <row r="126" spans="2:6" x14ac:dyDescent="0.35">
      <c r="B126" s="5">
        <v>181</v>
      </c>
      <c r="C126" s="5">
        <v>78</v>
      </c>
      <c r="D126" s="17">
        <f t="shared" si="3"/>
        <v>74.016256703861728</v>
      </c>
      <c r="E126" s="16">
        <f t="shared" si="4"/>
        <v>3.9837432961382717</v>
      </c>
      <c r="F126" s="16">
        <f t="shared" si="5"/>
        <v>15.870210649526621</v>
      </c>
    </row>
    <row r="127" spans="2:6" x14ac:dyDescent="0.35">
      <c r="B127" s="5">
        <v>169</v>
      </c>
      <c r="C127" s="5">
        <v>57</v>
      </c>
      <c r="D127" s="17">
        <f t="shared" si="3"/>
        <v>61.988921160784599</v>
      </c>
      <c r="E127" s="16">
        <f t="shared" si="4"/>
        <v>-4.9889211607845994</v>
      </c>
      <c r="F127" s="16">
        <f t="shared" si="5"/>
        <v>24.889334348524354</v>
      </c>
    </row>
    <row r="128" spans="2:6" x14ac:dyDescent="0.35">
      <c r="B128" s="5">
        <v>172</v>
      </c>
      <c r="C128" s="5">
        <v>52</v>
      </c>
      <c r="D128" s="17">
        <f t="shared" si="3"/>
        <v>64.995755046553882</v>
      </c>
      <c r="E128" s="16">
        <f t="shared" si="4"/>
        <v>-12.995755046553882</v>
      </c>
      <c r="F128" s="16">
        <f t="shared" si="5"/>
        <v>168.88964923003067</v>
      </c>
    </row>
    <row r="129" spans="1:7" x14ac:dyDescent="0.35">
      <c r="B129" s="5">
        <v>160</v>
      </c>
      <c r="C129" s="5">
        <v>48</v>
      </c>
      <c r="D129" s="17">
        <f t="shared" si="3"/>
        <v>52.968419503476753</v>
      </c>
      <c r="E129" s="16">
        <f t="shared" si="4"/>
        <v>-4.9684195034767527</v>
      </c>
      <c r="F129" s="16">
        <f t="shared" si="5"/>
        <v>24.685192362528181</v>
      </c>
    </row>
    <row r="130" spans="1:7" x14ac:dyDescent="0.35">
      <c r="B130" s="5">
        <v>173</v>
      </c>
      <c r="C130" s="5">
        <v>62</v>
      </c>
      <c r="D130" s="17">
        <f t="shared" si="3"/>
        <v>65.998033008476966</v>
      </c>
      <c r="E130" s="16">
        <f t="shared" si="4"/>
        <v>-3.9980330084769662</v>
      </c>
      <c r="F130" s="16">
        <f t="shared" si="5"/>
        <v>15.984267936871381</v>
      </c>
    </row>
    <row r="131" spans="1:7" x14ac:dyDescent="0.35">
      <c r="B131" s="5">
        <v>182</v>
      </c>
      <c r="C131" s="5">
        <v>64</v>
      </c>
      <c r="D131" s="17">
        <f t="shared" si="3"/>
        <v>75.018534665784813</v>
      </c>
      <c r="E131" s="16">
        <f t="shared" si="4"/>
        <v>-11.018534665784813</v>
      </c>
      <c r="F131" s="16">
        <f t="shared" si="5"/>
        <v>121.40810618110164</v>
      </c>
    </row>
    <row r="132" spans="1:7" x14ac:dyDescent="0.35">
      <c r="B132" s="5">
        <v>168</v>
      </c>
      <c r="C132" s="5">
        <v>58</v>
      </c>
      <c r="D132" s="17">
        <f t="shared" ref="D132:D140" si="6">$M$29+$K$29*B132</f>
        <v>60.986643198861486</v>
      </c>
      <c r="E132" s="16">
        <f t="shared" si="4"/>
        <v>-2.9866431988614863</v>
      </c>
      <c r="F132" s="16">
        <f t="shared" si="5"/>
        <v>8.920037597305571</v>
      </c>
    </row>
    <row r="133" spans="1:7" x14ac:dyDescent="0.35">
      <c r="B133" s="5">
        <v>163</v>
      </c>
      <c r="C133" s="5">
        <v>62</v>
      </c>
      <c r="D133" s="17">
        <f t="shared" si="6"/>
        <v>55.975253389246035</v>
      </c>
      <c r="E133" s="16">
        <f t="shared" ref="E133:E140" si="7">C133-D133</f>
        <v>6.0247466107539651</v>
      </c>
      <c r="F133" s="16">
        <f t="shared" ref="F133:F140" si="8">E133^2</f>
        <v>36.297571723791393</v>
      </c>
    </row>
    <row r="134" spans="1:7" x14ac:dyDescent="0.35">
      <c r="B134" s="6">
        <v>160</v>
      </c>
      <c r="C134" s="5">
        <v>53</v>
      </c>
      <c r="D134" s="17">
        <f t="shared" si="6"/>
        <v>52.968419503476753</v>
      </c>
      <c r="E134" s="16">
        <f t="shared" si="7"/>
        <v>3.1580496523247348E-2</v>
      </c>
      <c r="F134" s="16">
        <f t="shared" si="8"/>
        <v>9.9732776065483784E-4</v>
      </c>
    </row>
    <row r="135" spans="1:7" x14ac:dyDescent="0.35">
      <c r="B135" s="5">
        <v>180</v>
      </c>
      <c r="C135" s="5">
        <v>75</v>
      </c>
      <c r="D135" s="17">
        <f t="shared" si="6"/>
        <v>73.013978741938644</v>
      </c>
      <c r="E135" s="16">
        <f t="shared" si="7"/>
        <v>1.9860212580613563</v>
      </c>
      <c r="F135" s="16">
        <f t="shared" si="8"/>
        <v>3.9442804374716123</v>
      </c>
    </row>
    <row r="136" spans="1:7" x14ac:dyDescent="0.35">
      <c r="B136" s="5">
        <v>177</v>
      </c>
      <c r="C136" s="5">
        <v>80</v>
      </c>
      <c r="D136" s="17">
        <f t="shared" si="6"/>
        <v>70.007144856169361</v>
      </c>
      <c r="E136" s="16">
        <f t="shared" si="7"/>
        <v>9.9928551438306386</v>
      </c>
      <c r="F136" s="16">
        <f t="shared" si="8"/>
        <v>99.857153925582452</v>
      </c>
    </row>
    <row r="137" spans="1:7" x14ac:dyDescent="0.35">
      <c r="B137" s="5">
        <v>174</v>
      </c>
      <c r="C137" s="5">
        <v>80</v>
      </c>
      <c r="D137" s="17">
        <f t="shared" si="6"/>
        <v>67.000310970400079</v>
      </c>
      <c r="E137" s="16">
        <f t="shared" si="7"/>
        <v>12.999689029599921</v>
      </c>
      <c r="F137" s="16">
        <f t="shared" si="8"/>
        <v>168.99191486630053</v>
      </c>
    </row>
    <row r="138" spans="1:7" x14ac:dyDescent="0.35">
      <c r="B138" s="5">
        <v>160</v>
      </c>
      <c r="C138" s="5">
        <v>50</v>
      </c>
      <c r="D138" s="17">
        <f t="shared" si="6"/>
        <v>52.968419503476753</v>
      </c>
      <c r="E138" s="16">
        <f t="shared" si="7"/>
        <v>-2.9684195034767527</v>
      </c>
      <c r="F138" s="16">
        <f t="shared" si="8"/>
        <v>8.81151434862117</v>
      </c>
    </row>
    <row r="139" spans="1:7" x14ac:dyDescent="0.35">
      <c r="B139" s="5">
        <v>160</v>
      </c>
      <c r="C139" s="5">
        <v>52</v>
      </c>
      <c r="D139" s="17">
        <f t="shared" si="6"/>
        <v>52.968419503476753</v>
      </c>
      <c r="E139" s="16">
        <f t="shared" si="7"/>
        <v>-0.96841950347675265</v>
      </c>
      <c r="F139" s="16">
        <f t="shared" si="8"/>
        <v>0.93783633471416017</v>
      </c>
    </row>
    <row r="140" spans="1:7" x14ac:dyDescent="0.35">
      <c r="B140" s="30">
        <v>190</v>
      </c>
      <c r="C140" s="30">
        <v>85</v>
      </c>
      <c r="D140" s="31">
        <f t="shared" si="6"/>
        <v>83.036758361169575</v>
      </c>
      <c r="E140" s="32">
        <f t="shared" si="7"/>
        <v>1.963241638830425</v>
      </c>
      <c r="F140" s="32">
        <f t="shared" si="8"/>
        <v>3.8543177324375728</v>
      </c>
    </row>
    <row r="141" spans="1:7" x14ac:dyDescent="0.35">
      <c r="A141" s="33" t="s">
        <v>105</v>
      </c>
      <c r="B141" s="34">
        <f>AVERAGE(B4:B140)</f>
        <v>173.22262773722628</v>
      </c>
      <c r="C141" s="38">
        <f t="shared" ref="C141:E141" si="9">AVERAGE(C4:C140)</f>
        <v>66.221167883211677</v>
      </c>
      <c r="D141" s="38">
        <f t="shared" si="9"/>
        <v>66.221167883211635</v>
      </c>
      <c r="E141" s="37">
        <f t="shared" si="9"/>
        <v>4.2528835279071693E-15</v>
      </c>
      <c r="F141" s="36">
        <f>SUM(F4:F140)</f>
        <v>7125.2808351840822</v>
      </c>
    </row>
    <row r="142" spans="1:7" x14ac:dyDescent="0.35">
      <c r="A142" s="33" t="s">
        <v>106</v>
      </c>
      <c r="B142" s="35">
        <f>_xlfn.VAR.P(B4:B140)</f>
        <v>82.813575576748889</v>
      </c>
      <c r="C142" s="35">
        <f t="shared" ref="C142:E142" si="10">_xlfn.VAR.P(C4:C140)</f>
        <v>135.20064681123196</v>
      </c>
      <c r="D142" s="35">
        <f t="shared" si="10"/>
        <v>83.191297649305113</v>
      </c>
      <c r="E142" s="35">
        <f t="shared" si="10"/>
        <v>52.009349161927609</v>
      </c>
      <c r="F142" s="39" t="s">
        <v>112</v>
      </c>
      <c r="G142" s="40">
        <f>D142/C142</f>
        <v>0.61531730514172278</v>
      </c>
    </row>
    <row r="143" spans="1:7" x14ac:dyDescent="0.35">
      <c r="A143" s="33" t="s">
        <v>107</v>
      </c>
      <c r="B143" s="35">
        <f>SQRT(B142)</f>
        <v>9.1001964581402799</v>
      </c>
      <c r="C143" s="35">
        <f t="shared" ref="C143" si="11">SQRT(C142)</f>
        <v>11.627581296694165</v>
      </c>
      <c r="D143" s="35" t="s">
        <v>110</v>
      </c>
      <c r="E143" s="35" t="s">
        <v>111</v>
      </c>
      <c r="F143" s="17"/>
    </row>
    <row r="144" spans="1:7" x14ac:dyDescent="0.35">
      <c r="B144" s="13" t="s">
        <v>108</v>
      </c>
      <c r="C144" s="13" t="s">
        <v>109</v>
      </c>
    </row>
  </sheetData>
  <mergeCells count="1">
    <mergeCell ref="J35:K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M25" sqref="M25:P25"/>
    </sheetView>
  </sheetViews>
  <sheetFormatPr baseColWidth="10" defaultColWidth="11.42578125" defaultRowHeight="15.75" x14ac:dyDescent="0.3"/>
  <cols>
    <col min="1" max="1" width="8.5703125" style="44" customWidth="1"/>
    <col min="2" max="3" width="11.42578125" style="44"/>
    <col min="4" max="6" width="7.5703125" style="44" customWidth="1"/>
    <col min="7" max="7" width="10" style="44" customWidth="1"/>
    <col min="8" max="8" width="12.85546875" style="44" customWidth="1"/>
    <col min="9" max="9" width="9.28515625" style="45" customWidth="1"/>
    <col min="10" max="10" width="15.42578125" style="44" bestFit="1" customWidth="1"/>
    <col min="11" max="11" width="12.42578125" style="44" bestFit="1" customWidth="1"/>
    <col min="12" max="16384" width="11.42578125" style="44"/>
  </cols>
  <sheetData>
    <row r="1" spans="1:12" ht="18" x14ac:dyDescent="0.3">
      <c r="A1" s="43" t="s">
        <v>133</v>
      </c>
    </row>
    <row r="2" spans="1:12" ht="18" x14ac:dyDescent="0.3">
      <c r="A2" s="43" t="s">
        <v>134</v>
      </c>
    </row>
    <row r="3" spans="1:12" ht="16.5" thickBot="1" x14ac:dyDescent="0.35">
      <c r="B3" s="45" t="s">
        <v>21</v>
      </c>
      <c r="C3" s="46">
        <f>COUNT(C5:C14)</f>
        <v>10</v>
      </c>
    </row>
    <row r="4" spans="1:12" ht="18.75" thickBot="1" x14ac:dyDescent="0.35">
      <c r="B4" s="108" t="s">
        <v>2</v>
      </c>
      <c r="C4" s="108" t="s">
        <v>3</v>
      </c>
      <c r="D4" s="109" t="s">
        <v>27</v>
      </c>
      <c r="E4" s="109" t="s">
        <v>28</v>
      </c>
      <c r="F4" s="100"/>
      <c r="I4" s="104" t="s">
        <v>121</v>
      </c>
      <c r="J4" s="105" t="s">
        <v>29</v>
      </c>
      <c r="K4" s="55">
        <f>AVERAGE(B5:B14)</f>
        <v>18</v>
      </c>
      <c r="L4" s="44" t="s">
        <v>135</v>
      </c>
    </row>
    <row r="5" spans="1:12" ht="16.5" thickBot="1" x14ac:dyDescent="0.35">
      <c r="B5" s="101">
        <v>6</v>
      </c>
      <c r="C5" s="102">
        <v>40</v>
      </c>
      <c r="D5" s="103">
        <f t="shared" ref="D5:D14" si="0">$K$19+$K$18*B5</f>
        <v>37.083333333333336</v>
      </c>
      <c r="E5" s="50">
        <f t="shared" ref="E5:E14" si="1">C5-D5</f>
        <v>2.9166666666666643</v>
      </c>
      <c r="F5" s="100"/>
      <c r="I5" s="104"/>
      <c r="J5" s="106" t="s">
        <v>30</v>
      </c>
      <c r="K5" s="56">
        <f>VARP(B5:B14)</f>
        <v>57.6</v>
      </c>
    </row>
    <row r="6" spans="1:12" ht="18.75" thickBot="1" x14ac:dyDescent="0.35">
      <c r="B6" s="101">
        <v>10</v>
      </c>
      <c r="C6" s="102">
        <v>44</v>
      </c>
      <c r="D6" s="49">
        <f t="shared" si="0"/>
        <v>43.722222222222221</v>
      </c>
      <c r="E6" s="50">
        <f t="shared" si="1"/>
        <v>0.27777777777777857</v>
      </c>
      <c r="F6" s="100"/>
      <c r="I6" s="104"/>
      <c r="J6" s="106" t="s">
        <v>31</v>
      </c>
      <c r="K6" s="57">
        <f>_xlfn.STDEV.P(B5:B14)</f>
        <v>7.5894663844041101</v>
      </c>
      <c r="L6" s="44" t="s">
        <v>135</v>
      </c>
    </row>
    <row r="7" spans="1:12" ht="16.5" thickBot="1" x14ac:dyDescent="0.35">
      <c r="B7" s="101">
        <v>12</v>
      </c>
      <c r="C7" s="102">
        <v>46</v>
      </c>
      <c r="D7" s="49">
        <f t="shared" si="0"/>
        <v>47.041666666666671</v>
      </c>
      <c r="E7" s="50">
        <f t="shared" si="1"/>
        <v>-1.0416666666666714</v>
      </c>
      <c r="F7" s="100"/>
      <c r="I7" s="104"/>
      <c r="J7" s="107" t="s">
        <v>83</v>
      </c>
      <c r="K7" s="99">
        <f>K6/K4</f>
        <v>0.4216370213557839</v>
      </c>
    </row>
    <row r="8" spans="1:12" ht="16.5" thickBot="1" x14ac:dyDescent="0.35">
      <c r="B8" s="101">
        <v>14</v>
      </c>
      <c r="C8" s="102">
        <v>48</v>
      </c>
      <c r="D8" s="49">
        <f t="shared" si="0"/>
        <v>50.361111111111114</v>
      </c>
      <c r="E8" s="50">
        <f t="shared" si="1"/>
        <v>-2.3611111111111143</v>
      </c>
      <c r="F8" s="100"/>
      <c r="I8" s="104"/>
      <c r="J8" s="47"/>
      <c r="K8" s="48"/>
    </row>
    <row r="9" spans="1:12" ht="18.75" thickBot="1" x14ac:dyDescent="0.35">
      <c r="B9" s="101">
        <v>16</v>
      </c>
      <c r="C9" s="102">
        <v>52</v>
      </c>
      <c r="D9" s="49">
        <f t="shared" si="0"/>
        <v>53.680555555555557</v>
      </c>
      <c r="E9" s="50">
        <f t="shared" si="1"/>
        <v>-1.6805555555555571</v>
      </c>
      <c r="F9" s="100"/>
      <c r="I9" s="104"/>
      <c r="J9" s="110" t="s">
        <v>32</v>
      </c>
      <c r="K9" s="55">
        <f>AVERAGE(C5:C14)</f>
        <v>57</v>
      </c>
      <c r="L9" s="44" t="s">
        <v>136</v>
      </c>
    </row>
    <row r="10" spans="1:12" ht="16.5" thickBot="1" x14ac:dyDescent="0.35">
      <c r="B10" s="101">
        <v>18</v>
      </c>
      <c r="C10" s="102">
        <v>58</v>
      </c>
      <c r="D10" s="49">
        <f t="shared" si="0"/>
        <v>57</v>
      </c>
      <c r="E10" s="50">
        <f t="shared" si="1"/>
        <v>1</v>
      </c>
      <c r="F10" s="100"/>
      <c r="I10" s="104"/>
      <c r="J10" s="111" t="s">
        <v>33</v>
      </c>
      <c r="K10" s="56">
        <f>VARP(C5:C14)</f>
        <v>163.4</v>
      </c>
    </row>
    <row r="11" spans="1:12" ht="18.75" thickBot="1" x14ac:dyDescent="0.35">
      <c r="B11" s="101">
        <v>22</v>
      </c>
      <c r="C11" s="102">
        <v>60</v>
      </c>
      <c r="D11" s="49">
        <f t="shared" si="0"/>
        <v>63.638888888888893</v>
      </c>
      <c r="E11" s="50">
        <f t="shared" si="1"/>
        <v>-3.6388888888888928</v>
      </c>
      <c r="F11" s="100"/>
      <c r="I11" s="104"/>
      <c r="J11" s="111" t="s">
        <v>34</v>
      </c>
      <c r="K11" s="57">
        <f>_xlfn.STDEV.P(C5:C14)</f>
        <v>12.782800945019837</v>
      </c>
      <c r="L11" s="44" t="s">
        <v>136</v>
      </c>
    </row>
    <row r="12" spans="1:12" ht="16.5" thickBot="1" x14ac:dyDescent="0.35">
      <c r="B12" s="101">
        <v>24</v>
      </c>
      <c r="C12" s="102">
        <v>68</v>
      </c>
      <c r="D12" s="49">
        <f t="shared" si="0"/>
        <v>66.958333333333343</v>
      </c>
      <c r="E12" s="50">
        <f t="shared" si="1"/>
        <v>1.0416666666666572</v>
      </c>
      <c r="F12" s="100"/>
      <c r="I12" s="104"/>
      <c r="J12" s="107" t="s">
        <v>82</v>
      </c>
      <c r="K12" s="99">
        <f>K11/K9</f>
        <v>0.2242596657021024</v>
      </c>
      <c r="L12" s="44" t="s">
        <v>84</v>
      </c>
    </row>
    <row r="13" spans="1:12" ht="16.5" thickBot="1" x14ac:dyDescent="0.35">
      <c r="B13" s="101">
        <v>26</v>
      </c>
      <c r="C13" s="102">
        <v>74</v>
      </c>
      <c r="D13" s="49">
        <f t="shared" si="0"/>
        <v>70.277777777777771</v>
      </c>
      <c r="E13" s="50">
        <f t="shared" si="1"/>
        <v>3.7222222222222285</v>
      </c>
      <c r="F13" s="100"/>
      <c r="I13" s="104"/>
    </row>
    <row r="14" spans="1:12" ht="16.5" thickBot="1" x14ac:dyDescent="0.35">
      <c r="B14" s="101">
        <v>32</v>
      </c>
      <c r="C14" s="102">
        <v>80</v>
      </c>
      <c r="D14" s="51">
        <f t="shared" si="0"/>
        <v>80.236111111111114</v>
      </c>
      <c r="E14" s="52">
        <f t="shared" si="1"/>
        <v>-0.23611111111111427</v>
      </c>
      <c r="F14" s="100"/>
      <c r="I14" s="104" t="s">
        <v>122</v>
      </c>
      <c r="J14" s="54" t="s">
        <v>35</v>
      </c>
      <c r="K14" s="112">
        <f>COVAR(B5:B14,C5:C14)</f>
        <v>95.6</v>
      </c>
      <c r="L14" s="44" t="s">
        <v>69</v>
      </c>
    </row>
    <row r="15" spans="1:12" x14ac:dyDescent="0.3">
      <c r="B15"/>
      <c r="C15"/>
      <c r="D15"/>
      <c r="E15"/>
      <c r="F15" s="100"/>
      <c r="I15" s="104"/>
      <c r="J15" s="54" t="s">
        <v>36</v>
      </c>
      <c r="K15" s="58">
        <f>CORREL(B5:B14,C5:C14)</f>
        <v>0.98541830285729259</v>
      </c>
      <c r="L15" s="44" t="s">
        <v>70</v>
      </c>
    </row>
    <row r="16" spans="1:12" x14ac:dyDescent="0.3">
      <c r="B16" s="46"/>
      <c r="C16" s="46"/>
      <c r="D16" s="46"/>
      <c r="E16" s="46"/>
      <c r="I16" s="104"/>
      <c r="K16" s="53"/>
    </row>
    <row r="17" spans="1:16" x14ac:dyDescent="0.3">
      <c r="A17" s="43" t="s">
        <v>115</v>
      </c>
      <c r="I17" s="104"/>
      <c r="K17" s="53"/>
    </row>
    <row r="18" spans="1:16" ht="18" x14ac:dyDescent="0.3">
      <c r="I18" s="104" t="s">
        <v>123</v>
      </c>
      <c r="J18" s="54" t="s">
        <v>37</v>
      </c>
      <c r="K18" s="58">
        <f>SLOPE(C5:C14,B5:B14)</f>
        <v>1.6597222222222223</v>
      </c>
      <c r="L18" s="44" t="s">
        <v>139</v>
      </c>
    </row>
    <row r="19" spans="1:16" ht="18" x14ac:dyDescent="0.3">
      <c r="I19" s="104"/>
      <c r="J19" s="54" t="s">
        <v>38</v>
      </c>
      <c r="K19" s="58">
        <f>INTERCEPT(C5:C14,B5:B14)</f>
        <v>27.125</v>
      </c>
      <c r="L19" s="44" t="s">
        <v>140</v>
      </c>
    </row>
    <row r="20" spans="1:16" x14ac:dyDescent="0.3">
      <c r="I20" s="104"/>
      <c r="J20" s="116" t="s">
        <v>137</v>
      </c>
      <c r="K20" s="117" t="s">
        <v>138</v>
      </c>
      <c r="L20" s="117"/>
    </row>
    <row r="21" spans="1:16" x14ac:dyDescent="0.3">
      <c r="I21" s="104"/>
      <c r="K21" s="53"/>
    </row>
    <row r="22" spans="1:16" x14ac:dyDescent="0.3">
      <c r="I22" s="104" t="s">
        <v>124</v>
      </c>
      <c r="J22" s="54" t="s">
        <v>113</v>
      </c>
      <c r="K22" s="58">
        <f>RSQ(C5:C14,B5:B14)</f>
        <v>0.97104923160614753</v>
      </c>
      <c r="L22" s="44" t="s">
        <v>67</v>
      </c>
    </row>
    <row r="23" spans="1:16" ht="18" x14ac:dyDescent="0.3">
      <c r="I23" s="104"/>
      <c r="J23"/>
      <c r="K23"/>
      <c r="L23" s="44" t="s">
        <v>141</v>
      </c>
    </row>
    <row r="24" spans="1:16" x14ac:dyDescent="0.3">
      <c r="I24" s="104"/>
    </row>
    <row r="25" spans="1:16" ht="18" x14ac:dyDescent="0.3">
      <c r="I25" s="104" t="s">
        <v>125</v>
      </c>
      <c r="J25" s="54" t="s">
        <v>114</v>
      </c>
      <c r="K25" s="58">
        <v>23.5</v>
      </c>
      <c r="L25" s="44" t="s">
        <v>135</v>
      </c>
      <c r="M25" s="45" t="s">
        <v>143</v>
      </c>
      <c r="N25" s="119">
        <f>MAX(B5:B14)</f>
        <v>32</v>
      </c>
      <c r="O25" s="45" t="s">
        <v>144</v>
      </c>
      <c r="P25" s="119">
        <f>MIN(B5:B14)</f>
        <v>6</v>
      </c>
    </row>
    <row r="26" spans="1:16" ht="18" x14ac:dyDescent="0.3">
      <c r="J26" s="54" t="s">
        <v>14</v>
      </c>
      <c r="K26" s="58">
        <f>K19+K18*K25</f>
        <v>66.128472222222229</v>
      </c>
      <c r="L26" s="44" t="s">
        <v>142</v>
      </c>
      <c r="M26" s="44" t="s">
        <v>68</v>
      </c>
    </row>
  </sheetData>
  <mergeCells count="1">
    <mergeCell ref="K20:L20"/>
  </mergeCells>
  <pageMargins left="0.74803149606299213" right="0.74803149606299213" top="0.19685039370078741" bottom="0.19685039370078741" header="0" footer="0"/>
  <pageSetup paperSize="9" scale="56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45"/>
  <sheetViews>
    <sheetView workbookViewId="0">
      <selection activeCell="K34" sqref="K34"/>
    </sheetView>
  </sheetViews>
  <sheetFormatPr baseColWidth="10" defaultColWidth="11.42578125" defaultRowHeight="17.25" x14ac:dyDescent="0.35"/>
  <cols>
    <col min="1" max="2" width="9.28515625" style="61" customWidth="1"/>
    <col min="3" max="3" width="19.85546875" style="61" customWidth="1"/>
    <col min="4" max="4" width="17" style="61" customWidth="1"/>
    <col min="5" max="7" width="13.42578125" style="69" customWidth="1"/>
    <col min="8" max="10" width="11.42578125" style="61"/>
    <col min="11" max="11" width="15.140625" style="61" customWidth="1"/>
    <col min="12" max="12" width="12.140625" style="61" customWidth="1"/>
    <col min="13" max="16384" width="11.42578125" style="61"/>
  </cols>
  <sheetData>
    <row r="9" spans="1:7" x14ac:dyDescent="0.35">
      <c r="A9" s="59"/>
      <c r="B9" s="60"/>
      <c r="C9" s="60"/>
    </row>
    <row r="10" spans="1:7" x14ac:dyDescent="0.35">
      <c r="A10" s="59" t="s">
        <v>2</v>
      </c>
      <c r="B10" s="60" t="s">
        <v>65</v>
      </c>
      <c r="C10" s="60"/>
    </row>
    <row r="11" spans="1:7" x14ac:dyDescent="0.35">
      <c r="A11" s="59" t="s">
        <v>3</v>
      </c>
      <c r="B11" s="60" t="s">
        <v>66</v>
      </c>
      <c r="C11" s="60"/>
    </row>
    <row r="12" spans="1:7" ht="18" thickBot="1" x14ac:dyDescent="0.4"/>
    <row r="13" spans="1:7" ht="18" customHeight="1" thickBot="1" x14ac:dyDescent="0.4">
      <c r="B13" s="62" t="s">
        <v>41</v>
      </c>
      <c r="C13" s="63" t="s">
        <v>42</v>
      </c>
      <c r="D13" s="63" t="s">
        <v>43</v>
      </c>
      <c r="E13" s="64" t="s">
        <v>47</v>
      </c>
      <c r="F13" s="64" t="s">
        <v>28</v>
      </c>
      <c r="G13" s="64" t="s">
        <v>44</v>
      </c>
    </row>
    <row r="14" spans="1:7" x14ac:dyDescent="0.35">
      <c r="B14" s="65">
        <v>1</v>
      </c>
      <c r="C14" s="66">
        <v>2</v>
      </c>
      <c r="D14" s="66">
        <v>-6</v>
      </c>
      <c r="E14" s="70">
        <f t="shared" ref="E14:E23" si="0">$J$28*C14+$J$27</f>
        <v>-5.9748603351955252</v>
      </c>
      <c r="F14" s="71">
        <f t="shared" ref="F14:F23" si="1">D14-E14</f>
        <v>-2.5139664804474826E-2</v>
      </c>
      <c r="G14" s="71">
        <f>F14^2</f>
        <v>6.3200274648135026E-4</v>
      </c>
    </row>
    <row r="15" spans="1:7" x14ac:dyDescent="0.35">
      <c r="B15" s="65">
        <v>2</v>
      </c>
      <c r="C15" s="66">
        <v>2.8</v>
      </c>
      <c r="D15" s="66">
        <v>-3</v>
      </c>
      <c r="E15" s="72">
        <f t="shared" si="0"/>
        <v>-3.2150837988826773</v>
      </c>
      <c r="F15" s="71">
        <f t="shared" si="1"/>
        <v>0.21508379888267726</v>
      </c>
      <c r="G15" s="71">
        <f t="shared" ref="G15:G23" si="2">F15^2</f>
        <v>4.6261040541803959E-2</v>
      </c>
    </row>
    <row r="16" spans="1:7" x14ac:dyDescent="0.35">
      <c r="B16" s="65">
        <v>3</v>
      </c>
      <c r="C16" s="66">
        <v>3.9</v>
      </c>
      <c r="D16" s="66">
        <v>0</v>
      </c>
      <c r="E16" s="72">
        <f t="shared" si="0"/>
        <v>0.57960893854748896</v>
      </c>
      <c r="F16" s="71">
        <f t="shared" si="1"/>
        <v>-0.57960893854748896</v>
      </c>
      <c r="G16" s="71">
        <f t="shared" si="2"/>
        <v>0.33594652164414684</v>
      </c>
    </row>
    <row r="17" spans="2:16" x14ac:dyDescent="0.35">
      <c r="B17" s="65">
        <v>4</v>
      </c>
      <c r="C17" s="66">
        <v>4.2</v>
      </c>
      <c r="D17" s="66">
        <v>3</v>
      </c>
      <c r="E17" s="72">
        <f t="shared" si="0"/>
        <v>1.6145251396648082</v>
      </c>
      <c r="F17" s="71">
        <f t="shared" si="1"/>
        <v>1.3854748603351918</v>
      </c>
      <c r="G17" s="71">
        <f t="shared" si="2"/>
        <v>1.9195405886208194</v>
      </c>
    </row>
    <row r="18" spans="2:16" x14ac:dyDescent="0.35">
      <c r="B18" s="65">
        <v>5</v>
      </c>
      <c r="C18" s="66">
        <v>5.8</v>
      </c>
      <c r="D18" s="66">
        <v>6</v>
      </c>
      <c r="E18" s="72">
        <f t="shared" si="0"/>
        <v>7.1340782122905058</v>
      </c>
      <c r="F18" s="71">
        <f t="shared" si="1"/>
        <v>-1.1340782122905058</v>
      </c>
      <c r="G18" s="71">
        <f t="shared" si="2"/>
        <v>1.2861333915920294</v>
      </c>
    </row>
    <row r="19" spans="2:16" x14ac:dyDescent="0.35">
      <c r="B19" s="65">
        <v>6</v>
      </c>
      <c r="C19" s="66">
        <v>6.2</v>
      </c>
      <c r="D19" s="66">
        <v>9</v>
      </c>
      <c r="E19" s="72">
        <f t="shared" si="0"/>
        <v>8.5139664804469302</v>
      </c>
      <c r="F19" s="71">
        <f t="shared" si="1"/>
        <v>0.48603351955306984</v>
      </c>
      <c r="G19" s="71">
        <f t="shared" si="2"/>
        <v>0.23622858212914433</v>
      </c>
    </row>
    <row r="20" spans="2:16" x14ac:dyDescent="0.35">
      <c r="B20" s="65">
        <v>7</v>
      </c>
      <c r="C20" s="66">
        <v>7.5</v>
      </c>
      <c r="D20" s="66">
        <v>12</v>
      </c>
      <c r="E20" s="72">
        <f t="shared" si="0"/>
        <v>12.998603351955309</v>
      </c>
      <c r="F20" s="71">
        <f t="shared" si="1"/>
        <v>-0.99860335195530858</v>
      </c>
      <c r="G20" s="71">
        <f t="shared" si="2"/>
        <v>0.99720865453637786</v>
      </c>
    </row>
    <row r="21" spans="2:16" x14ac:dyDescent="0.35">
      <c r="B21" s="65">
        <v>8</v>
      </c>
      <c r="C21" s="66">
        <v>8.1999999999999993</v>
      </c>
      <c r="D21" s="66">
        <v>15</v>
      </c>
      <c r="E21" s="72">
        <f t="shared" si="0"/>
        <v>15.413407821229049</v>
      </c>
      <c r="F21" s="71">
        <f t="shared" si="1"/>
        <v>-0.41340782122904862</v>
      </c>
      <c r="G21" s="71">
        <f t="shared" si="2"/>
        <v>0.17090602665334903</v>
      </c>
    </row>
    <row r="22" spans="2:16" x14ac:dyDescent="0.35">
      <c r="B22" s="65">
        <v>9</v>
      </c>
      <c r="C22" s="66">
        <v>9.3000000000000007</v>
      </c>
      <c r="D22" s="66">
        <v>20</v>
      </c>
      <c r="E22" s="72">
        <f t="shared" si="0"/>
        <v>19.208100558659218</v>
      </c>
      <c r="F22" s="71">
        <f t="shared" si="1"/>
        <v>0.79189944134078161</v>
      </c>
      <c r="G22" s="71">
        <f t="shared" si="2"/>
        <v>0.62710472519584204</v>
      </c>
    </row>
    <row r="23" spans="2:16" ht="18" thickBot="1" x14ac:dyDescent="0.4">
      <c r="B23" s="67">
        <v>10</v>
      </c>
      <c r="C23" s="68">
        <v>10.9</v>
      </c>
      <c r="D23" s="68">
        <v>25</v>
      </c>
      <c r="E23" s="73">
        <f t="shared" si="0"/>
        <v>24.727653631284916</v>
      </c>
      <c r="F23" s="74">
        <f t="shared" si="1"/>
        <v>0.272346368715084</v>
      </c>
      <c r="G23" s="74">
        <f t="shared" si="2"/>
        <v>7.4172544552292483E-2</v>
      </c>
    </row>
    <row r="24" spans="2:16" ht="18" thickBot="1" x14ac:dyDescent="0.4">
      <c r="F24" s="75">
        <f>SUM(F14:F23)</f>
        <v>-2.2204460492503131E-14</v>
      </c>
      <c r="G24" s="76">
        <f>SUM(G14:G23)</f>
        <v>5.6941340782122865</v>
      </c>
    </row>
    <row r="26" spans="2:16" ht="18" thickBot="1" x14ac:dyDescent="0.4">
      <c r="I26" s="60" t="s">
        <v>145</v>
      </c>
    </row>
    <row r="27" spans="2:16" ht="18" thickBot="1" x14ac:dyDescent="0.4">
      <c r="I27" s="77" t="s">
        <v>38</v>
      </c>
      <c r="J27" s="78">
        <f>INTERCEPT(D14:D23,C14:C23)</f>
        <v>-12.874301675977646</v>
      </c>
      <c r="K27" s="79"/>
      <c r="L27" s="120" t="s">
        <v>88</v>
      </c>
      <c r="M27" s="121"/>
      <c r="N27" s="121"/>
      <c r="O27" s="121"/>
      <c r="P27" s="122"/>
    </row>
    <row r="28" spans="2:16" ht="18" thickBot="1" x14ac:dyDescent="0.4">
      <c r="I28" s="80" t="s">
        <v>37</v>
      </c>
      <c r="J28" s="129">
        <f>SLOPE(D14:D23,C14:C23)</f>
        <v>3.4497206703910606</v>
      </c>
      <c r="K28" s="81"/>
      <c r="L28" s="123" t="s">
        <v>148</v>
      </c>
      <c r="M28" s="124"/>
      <c r="N28" s="124"/>
      <c r="O28" s="124"/>
      <c r="P28" s="125"/>
    </row>
    <row r="29" spans="2:16" ht="18" thickBot="1" x14ac:dyDescent="0.4">
      <c r="L29" s="126"/>
      <c r="M29" s="127"/>
      <c r="N29" s="127"/>
      <c r="O29" s="127"/>
      <c r="P29" s="128"/>
    </row>
    <row r="30" spans="2:16" ht="18" thickBot="1" x14ac:dyDescent="0.4">
      <c r="I30" s="130" t="s">
        <v>45</v>
      </c>
      <c r="J30" s="131" t="s">
        <v>46</v>
      </c>
      <c r="K30" s="87"/>
    </row>
    <row r="33" spans="9:16" ht="18" thickBot="1" x14ac:dyDescent="0.4">
      <c r="I33" s="60" t="s">
        <v>146</v>
      </c>
    </row>
    <row r="34" spans="9:16" x14ac:dyDescent="0.35">
      <c r="I34" s="77"/>
      <c r="J34" s="82" t="s">
        <v>11</v>
      </c>
      <c r="K34" s="83">
        <f>G24/B23</f>
        <v>0.56941340782122862</v>
      </c>
    </row>
    <row r="35" spans="9:16" ht="21" thickBot="1" x14ac:dyDescent="0.4">
      <c r="I35" s="139" t="s">
        <v>149</v>
      </c>
      <c r="J35" s="138"/>
      <c r="K35" s="84">
        <f>RSQ(D14:D23,C14:C23)</f>
        <v>0.99373513689271376</v>
      </c>
      <c r="L35" s="61" t="s">
        <v>89</v>
      </c>
    </row>
    <row r="36" spans="9:16" ht="18" thickBot="1" x14ac:dyDescent="0.4"/>
    <row r="37" spans="9:16" ht="20.25" x14ac:dyDescent="0.35">
      <c r="I37" s="132" t="s">
        <v>150</v>
      </c>
      <c r="J37" s="133"/>
      <c r="K37" s="133"/>
      <c r="L37" s="134"/>
    </row>
    <row r="38" spans="9:16" ht="18" thickBot="1" x14ac:dyDescent="0.4">
      <c r="I38" s="135" t="s">
        <v>71</v>
      </c>
      <c r="J38" s="136"/>
      <c r="K38" s="136"/>
      <c r="L38" s="137"/>
    </row>
    <row r="41" spans="9:16" x14ac:dyDescent="0.35">
      <c r="I41" s="60" t="s">
        <v>147</v>
      </c>
    </row>
    <row r="42" spans="9:16" ht="18" thickBot="1" x14ac:dyDescent="0.4">
      <c r="I42" s="61" t="s">
        <v>151</v>
      </c>
      <c r="M42" s="45" t="s">
        <v>143</v>
      </c>
      <c r="N42" s="118">
        <f>MAX(C14:C23)</f>
        <v>10.9</v>
      </c>
      <c r="O42" s="45" t="s">
        <v>144</v>
      </c>
      <c r="P42" s="118">
        <f>MIN(C14:C23)</f>
        <v>2</v>
      </c>
    </row>
    <row r="43" spans="9:16" ht="18" thickBot="1" x14ac:dyDescent="0.4">
      <c r="I43" s="61" t="s">
        <v>14</v>
      </c>
      <c r="J43" s="85">
        <f>J27+J28*15</f>
        <v>38.871508379888262</v>
      </c>
      <c r="K43" s="86" t="s">
        <v>85</v>
      </c>
      <c r="L43" s="87"/>
    </row>
    <row r="44" spans="9:16" x14ac:dyDescent="0.35">
      <c r="I44" s="61" t="s">
        <v>87</v>
      </c>
    </row>
    <row r="45" spans="9:16" x14ac:dyDescent="0.35">
      <c r="I45" s="61" t="s">
        <v>86</v>
      </c>
    </row>
  </sheetData>
  <mergeCells count="2">
    <mergeCell ref="L28:P29"/>
    <mergeCell ref="I35:J3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2"/>
  <sheetViews>
    <sheetView workbookViewId="0">
      <selection activeCell="J24" sqref="J24"/>
    </sheetView>
  </sheetViews>
  <sheetFormatPr baseColWidth="10" defaultColWidth="11.42578125" defaultRowHeight="17.25" x14ac:dyDescent="0.35"/>
  <cols>
    <col min="1" max="1" width="11.42578125" style="61" customWidth="1"/>
    <col min="2" max="2" width="11.42578125" style="61"/>
    <col min="3" max="3" width="12.5703125" style="61" customWidth="1"/>
    <col min="4" max="9" width="11.42578125" style="61"/>
    <col min="10" max="10" width="13" style="61" customWidth="1"/>
    <col min="11" max="16384" width="11.42578125" style="61"/>
  </cols>
  <sheetData>
    <row r="9" spans="1:11" x14ac:dyDescent="0.35">
      <c r="A9" s="59" t="s">
        <v>2</v>
      </c>
      <c r="B9" s="60" t="s">
        <v>61</v>
      </c>
    </row>
    <row r="10" spans="1:11" x14ac:dyDescent="0.35">
      <c r="A10" s="59" t="s">
        <v>3</v>
      </c>
      <c r="B10" s="60" t="s">
        <v>62</v>
      </c>
    </row>
    <row r="13" spans="1:11" x14ac:dyDescent="0.35">
      <c r="B13" s="88" t="s">
        <v>2</v>
      </c>
      <c r="C13" s="88" t="s">
        <v>3</v>
      </c>
      <c r="D13" s="89" t="s">
        <v>72</v>
      </c>
      <c r="E13" s="89" t="s">
        <v>73</v>
      </c>
      <c r="H13" s="60" t="s">
        <v>152</v>
      </c>
    </row>
    <row r="14" spans="1:11" x14ac:dyDescent="0.35">
      <c r="B14" s="90">
        <v>1.9</v>
      </c>
      <c r="C14" s="90">
        <v>5.5</v>
      </c>
      <c r="D14" s="91">
        <f t="shared" ref="D14:D20" si="0">$I$14+$I$15*B14</f>
        <v>7.2935483870967763</v>
      </c>
      <c r="E14" s="91">
        <f>C14-D14</f>
        <v>-1.7935483870967763</v>
      </c>
      <c r="H14" s="61" t="s">
        <v>63</v>
      </c>
      <c r="I14" s="92">
        <f>INTERCEPT(C14:C20,B14:B20)</f>
        <v>4.1983870967741961</v>
      </c>
      <c r="K14" s="61" t="s">
        <v>154</v>
      </c>
    </row>
    <row r="15" spans="1:11" x14ac:dyDescent="0.35">
      <c r="B15" s="90">
        <v>2.2000000000000002</v>
      </c>
      <c r="C15" s="90">
        <v>7.4</v>
      </c>
      <c r="D15" s="91">
        <f t="shared" si="0"/>
        <v>7.7822580645161317</v>
      </c>
      <c r="E15" s="91">
        <f t="shared" ref="E15:E20" si="1">C15-D15</f>
        <v>-0.38225806451613131</v>
      </c>
      <c r="H15" s="61" t="s">
        <v>23</v>
      </c>
      <c r="I15" s="92">
        <f>SLOPE(C14:C20,B14:B20)</f>
        <v>1.629032258064516</v>
      </c>
      <c r="K15" s="61" t="s">
        <v>74</v>
      </c>
    </row>
    <row r="16" spans="1:11" x14ac:dyDescent="0.35">
      <c r="B16" s="90">
        <v>2.9</v>
      </c>
      <c r="C16" s="90">
        <v>9.8000000000000007</v>
      </c>
      <c r="D16" s="91">
        <f t="shared" si="0"/>
        <v>8.9225806451612932</v>
      </c>
      <c r="E16" s="91">
        <f t="shared" si="1"/>
        <v>0.87741935483870748</v>
      </c>
      <c r="H16" s="61" t="s">
        <v>45</v>
      </c>
      <c r="I16" s="60" t="s">
        <v>64</v>
      </c>
      <c r="J16" s="60"/>
    </row>
    <row r="17" spans="2:11" x14ac:dyDescent="0.35">
      <c r="B17" s="90">
        <v>3.6</v>
      </c>
      <c r="C17" s="90">
        <v>11.6</v>
      </c>
      <c r="D17" s="91">
        <f t="shared" si="0"/>
        <v>10.062903225806455</v>
      </c>
      <c r="E17" s="91">
        <f t="shared" si="1"/>
        <v>1.5370967741935448</v>
      </c>
    </row>
    <row r="18" spans="2:11" x14ac:dyDescent="0.35">
      <c r="B18" s="90">
        <v>3.8</v>
      </c>
      <c r="C18" s="90">
        <v>11.6</v>
      </c>
      <c r="D18" s="91">
        <f t="shared" si="0"/>
        <v>10.388709677419357</v>
      </c>
      <c r="E18" s="91">
        <f t="shared" si="1"/>
        <v>1.2112903225806431</v>
      </c>
    </row>
    <row r="19" spans="2:11" x14ac:dyDescent="0.35">
      <c r="B19" s="90">
        <v>4.5999999999999996</v>
      </c>
      <c r="C19" s="90">
        <v>12.2</v>
      </c>
      <c r="D19" s="91">
        <f t="shared" si="0"/>
        <v>11.691935483870969</v>
      </c>
      <c r="E19" s="91">
        <f t="shared" si="1"/>
        <v>0.50806451612903025</v>
      </c>
      <c r="H19" s="60" t="s">
        <v>153</v>
      </c>
    </row>
    <row r="20" spans="2:11" ht="20.25" x14ac:dyDescent="0.35">
      <c r="B20" s="90">
        <v>5.5</v>
      </c>
      <c r="C20" s="90">
        <v>11.2</v>
      </c>
      <c r="D20" s="91">
        <f t="shared" si="0"/>
        <v>13.158064516129034</v>
      </c>
      <c r="E20" s="91">
        <f t="shared" si="1"/>
        <v>-1.9580645161290349</v>
      </c>
      <c r="H20" s="140" t="s">
        <v>149</v>
      </c>
      <c r="I20" s="93">
        <f>RSQ(C14:C20,B14:B20)</f>
        <v>0.68590831918505957</v>
      </c>
      <c r="K20" s="61" t="s">
        <v>75</v>
      </c>
    </row>
    <row r="22" spans="2:11" ht="20.25" x14ac:dyDescent="0.35">
      <c r="H22" s="61" t="s">
        <v>155</v>
      </c>
    </row>
  </sheetData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L37"/>
  <sheetViews>
    <sheetView tabSelected="1" workbookViewId="0">
      <selection activeCell="M23" sqref="M23"/>
    </sheetView>
  </sheetViews>
  <sheetFormatPr baseColWidth="10" defaultColWidth="9.140625" defaultRowHeight="15.75" x14ac:dyDescent="0.3"/>
  <cols>
    <col min="1" max="1" width="9.140625" style="44"/>
    <col min="2" max="2" width="13.85546875" style="44" customWidth="1"/>
    <col min="3" max="3" width="27.140625" style="44" customWidth="1"/>
    <col min="4" max="4" width="21.85546875" style="44" bestFit="1" customWidth="1"/>
    <col min="5" max="8" width="11.42578125" style="44" customWidth="1"/>
    <col min="9" max="9" width="20.7109375" style="44" customWidth="1"/>
    <col min="10" max="10" width="11.42578125" style="44" customWidth="1"/>
    <col min="11" max="11" width="14" style="44" customWidth="1"/>
    <col min="12" max="259" width="11.42578125" style="44" customWidth="1"/>
    <col min="260" max="260" width="13.85546875" style="44" customWidth="1"/>
    <col min="261" max="261" width="24.42578125" style="44" customWidth="1"/>
    <col min="262" max="262" width="20.5703125" style="44" customWidth="1"/>
    <col min="263" max="515" width="11.42578125" style="44" customWidth="1"/>
    <col min="516" max="516" width="13.85546875" style="44" customWidth="1"/>
    <col min="517" max="517" width="24.42578125" style="44" customWidth="1"/>
    <col min="518" max="518" width="20.5703125" style="44" customWidth="1"/>
    <col min="519" max="771" width="11.42578125" style="44" customWidth="1"/>
    <col min="772" max="772" width="13.85546875" style="44" customWidth="1"/>
    <col min="773" max="773" width="24.42578125" style="44" customWidth="1"/>
    <col min="774" max="774" width="20.5703125" style="44" customWidth="1"/>
    <col min="775" max="1027" width="11.42578125" style="44" customWidth="1"/>
    <col min="1028" max="1028" width="13.85546875" style="44" customWidth="1"/>
    <col min="1029" max="1029" width="24.42578125" style="44" customWidth="1"/>
    <col min="1030" max="1030" width="20.5703125" style="44" customWidth="1"/>
    <col min="1031" max="1283" width="11.42578125" style="44" customWidth="1"/>
    <col min="1284" max="1284" width="13.85546875" style="44" customWidth="1"/>
    <col min="1285" max="1285" width="24.42578125" style="44" customWidth="1"/>
    <col min="1286" max="1286" width="20.5703125" style="44" customWidth="1"/>
    <col min="1287" max="1539" width="11.42578125" style="44" customWidth="1"/>
    <col min="1540" max="1540" width="13.85546875" style="44" customWidth="1"/>
    <col min="1541" max="1541" width="24.42578125" style="44" customWidth="1"/>
    <col min="1542" max="1542" width="20.5703125" style="44" customWidth="1"/>
    <col min="1543" max="1795" width="11.42578125" style="44" customWidth="1"/>
    <col min="1796" max="1796" width="13.85546875" style="44" customWidth="1"/>
    <col min="1797" max="1797" width="24.42578125" style="44" customWidth="1"/>
    <col min="1798" max="1798" width="20.5703125" style="44" customWidth="1"/>
    <col min="1799" max="2051" width="11.42578125" style="44" customWidth="1"/>
    <col min="2052" max="2052" width="13.85546875" style="44" customWidth="1"/>
    <col min="2053" max="2053" width="24.42578125" style="44" customWidth="1"/>
    <col min="2054" max="2054" width="20.5703125" style="44" customWidth="1"/>
    <col min="2055" max="2307" width="11.42578125" style="44" customWidth="1"/>
    <col min="2308" max="2308" width="13.85546875" style="44" customWidth="1"/>
    <col min="2309" max="2309" width="24.42578125" style="44" customWidth="1"/>
    <col min="2310" max="2310" width="20.5703125" style="44" customWidth="1"/>
    <col min="2311" max="2563" width="11.42578125" style="44" customWidth="1"/>
    <col min="2564" max="2564" width="13.85546875" style="44" customWidth="1"/>
    <col min="2565" max="2565" width="24.42578125" style="44" customWidth="1"/>
    <col min="2566" max="2566" width="20.5703125" style="44" customWidth="1"/>
    <col min="2567" max="2819" width="11.42578125" style="44" customWidth="1"/>
    <col min="2820" max="2820" width="13.85546875" style="44" customWidth="1"/>
    <col min="2821" max="2821" width="24.42578125" style="44" customWidth="1"/>
    <col min="2822" max="2822" width="20.5703125" style="44" customWidth="1"/>
    <col min="2823" max="3075" width="11.42578125" style="44" customWidth="1"/>
    <col min="3076" max="3076" width="13.85546875" style="44" customWidth="1"/>
    <col min="3077" max="3077" width="24.42578125" style="44" customWidth="1"/>
    <col min="3078" max="3078" width="20.5703125" style="44" customWidth="1"/>
    <col min="3079" max="3331" width="11.42578125" style="44" customWidth="1"/>
    <col min="3332" max="3332" width="13.85546875" style="44" customWidth="1"/>
    <col min="3333" max="3333" width="24.42578125" style="44" customWidth="1"/>
    <col min="3334" max="3334" width="20.5703125" style="44" customWidth="1"/>
    <col min="3335" max="3587" width="11.42578125" style="44" customWidth="1"/>
    <col min="3588" max="3588" width="13.85546875" style="44" customWidth="1"/>
    <col min="3589" max="3589" width="24.42578125" style="44" customWidth="1"/>
    <col min="3590" max="3590" width="20.5703125" style="44" customWidth="1"/>
    <col min="3591" max="3843" width="11.42578125" style="44" customWidth="1"/>
    <col min="3844" max="3844" width="13.85546875" style="44" customWidth="1"/>
    <col min="3845" max="3845" width="24.42578125" style="44" customWidth="1"/>
    <col min="3846" max="3846" width="20.5703125" style="44" customWidth="1"/>
    <col min="3847" max="4099" width="11.42578125" style="44" customWidth="1"/>
    <col min="4100" max="4100" width="13.85546875" style="44" customWidth="1"/>
    <col min="4101" max="4101" width="24.42578125" style="44" customWidth="1"/>
    <col min="4102" max="4102" width="20.5703125" style="44" customWidth="1"/>
    <col min="4103" max="4355" width="11.42578125" style="44" customWidth="1"/>
    <col min="4356" max="4356" width="13.85546875" style="44" customWidth="1"/>
    <col min="4357" max="4357" width="24.42578125" style="44" customWidth="1"/>
    <col min="4358" max="4358" width="20.5703125" style="44" customWidth="1"/>
    <col min="4359" max="4611" width="11.42578125" style="44" customWidth="1"/>
    <col min="4612" max="4612" width="13.85546875" style="44" customWidth="1"/>
    <col min="4613" max="4613" width="24.42578125" style="44" customWidth="1"/>
    <col min="4614" max="4614" width="20.5703125" style="44" customWidth="1"/>
    <col min="4615" max="4867" width="11.42578125" style="44" customWidth="1"/>
    <col min="4868" max="4868" width="13.85546875" style="44" customWidth="1"/>
    <col min="4869" max="4869" width="24.42578125" style="44" customWidth="1"/>
    <col min="4870" max="4870" width="20.5703125" style="44" customWidth="1"/>
    <col min="4871" max="5123" width="11.42578125" style="44" customWidth="1"/>
    <col min="5124" max="5124" width="13.85546875" style="44" customWidth="1"/>
    <col min="5125" max="5125" width="24.42578125" style="44" customWidth="1"/>
    <col min="5126" max="5126" width="20.5703125" style="44" customWidth="1"/>
    <col min="5127" max="5379" width="11.42578125" style="44" customWidth="1"/>
    <col min="5380" max="5380" width="13.85546875" style="44" customWidth="1"/>
    <col min="5381" max="5381" width="24.42578125" style="44" customWidth="1"/>
    <col min="5382" max="5382" width="20.5703125" style="44" customWidth="1"/>
    <col min="5383" max="5635" width="11.42578125" style="44" customWidth="1"/>
    <col min="5636" max="5636" width="13.85546875" style="44" customWidth="1"/>
    <col min="5637" max="5637" width="24.42578125" style="44" customWidth="1"/>
    <col min="5638" max="5638" width="20.5703125" style="44" customWidth="1"/>
    <col min="5639" max="5891" width="11.42578125" style="44" customWidth="1"/>
    <col min="5892" max="5892" width="13.85546875" style="44" customWidth="1"/>
    <col min="5893" max="5893" width="24.42578125" style="44" customWidth="1"/>
    <col min="5894" max="5894" width="20.5703125" style="44" customWidth="1"/>
    <col min="5895" max="6147" width="11.42578125" style="44" customWidth="1"/>
    <col min="6148" max="6148" width="13.85546875" style="44" customWidth="1"/>
    <col min="6149" max="6149" width="24.42578125" style="44" customWidth="1"/>
    <col min="6150" max="6150" width="20.5703125" style="44" customWidth="1"/>
    <col min="6151" max="6403" width="11.42578125" style="44" customWidth="1"/>
    <col min="6404" max="6404" width="13.85546875" style="44" customWidth="1"/>
    <col min="6405" max="6405" width="24.42578125" style="44" customWidth="1"/>
    <col min="6406" max="6406" width="20.5703125" style="44" customWidth="1"/>
    <col min="6407" max="6659" width="11.42578125" style="44" customWidth="1"/>
    <col min="6660" max="6660" width="13.85546875" style="44" customWidth="1"/>
    <col min="6661" max="6661" width="24.42578125" style="44" customWidth="1"/>
    <col min="6662" max="6662" width="20.5703125" style="44" customWidth="1"/>
    <col min="6663" max="6915" width="11.42578125" style="44" customWidth="1"/>
    <col min="6916" max="6916" width="13.85546875" style="44" customWidth="1"/>
    <col min="6917" max="6917" width="24.42578125" style="44" customWidth="1"/>
    <col min="6918" max="6918" width="20.5703125" style="44" customWidth="1"/>
    <col min="6919" max="7171" width="11.42578125" style="44" customWidth="1"/>
    <col min="7172" max="7172" width="13.85546875" style="44" customWidth="1"/>
    <col min="7173" max="7173" width="24.42578125" style="44" customWidth="1"/>
    <col min="7174" max="7174" width="20.5703125" style="44" customWidth="1"/>
    <col min="7175" max="7427" width="11.42578125" style="44" customWidth="1"/>
    <col min="7428" max="7428" width="13.85546875" style="44" customWidth="1"/>
    <col min="7429" max="7429" width="24.42578125" style="44" customWidth="1"/>
    <col min="7430" max="7430" width="20.5703125" style="44" customWidth="1"/>
    <col min="7431" max="7683" width="11.42578125" style="44" customWidth="1"/>
    <col min="7684" max="7684" width="13.85546875" style="44" customWidth="1"/>
    <col min="7685" max="7685" width="24.42578125" style="44" customWidth="1"/>
    <col min="7686" max="7686" width="20.5703125" style="44" customWidth="1"/>
    <col min="7687" max="7939" width="11.42578125" style="44" customWidth="1"/>
    <col min="7940" max="7940" width="13.85546875" style="44" customWidth="1"/>
    <col min="7941" max="7941" width="24.42578125" style="44" customWidth="1"/>
    <col min="7942" max="7942" width="20.5703125" style="44" customWidth="1"/>
    <col min="7943" max="8195" width="11.42578125" style="44" customWidth="1"/>
    <col min="8196" max="8196" width="13.85546875" style="44" customWidth="1"/>
    <col min="8197" max="8197" width="24.42578125" style="44" customWidth="1"/>
    <col min="8198" max="8198" width="20.5703125" style="44" customWidth="1"/>
    <col min="8199" max="8451" width="11.42578125" style="44" customWidth="1"/>
    <col min="8452" max="8452" width="13.85546875" style="44" customWidth="1"/>
    <col min="8453" max="8453" width="24.42578125" style="44" customWidth="1"/>
    <col min="8454" max="8454" width="20.5703125" style="44" customWidth="1"/>
    <col min="8455" max="8707" width="11.42578125" style="44" customWidth="1"/>
    <col min="8708" max="8708" width="13.85546875" style="44" customWidth="1"/>
    <col min="8709" max="8709" width="24.42578125" style="44" customWidth="1"/>
    <col min="8710" max="8710" width="20.5703125" style="44" customWidth="1"/>
    <col min="8711" max="8963" width="11.42578125" style="44" customWidth="1"/>
    <col min="8964" max="8964" width="13.85546875" style="44" customWidth="1"/>
    <col min="8965" max="8965" width="24.42578125" style="44" customWidth="1"/>
    <col min="8966" max="8966" width="20.5703125" style="44" customWidth="1"/>
    <col min="8967" max="9219" width="11.42578125" style="44" customWidth="1"/>
    <col min="9220" max="9220" width="13.85546875" style="44" customWidth="1"/>
    <col min="9221" max="9221" width="24.42578125" style="44" customWidth="1"/>
    <col min="9222" max="9222" width="20.5703125" style="44" customWidth="1"/>
    <col min="9223" max="9475" width="11.42578125" style="44" customWidth="1"/>
    <col min="9476" max="9476" width="13.85546875" style="44" customWidth="1"/>
    <col min="9477" max="9477" width="24.42578125" style="44" customWidth="1"/>
    <col min="9478" max="9478" width="20.5703125" style="44" customWidth="1"/>
    <col min="9479" max="9731" width="11.42578125" style="44" customWidth="1"/>
    <col min="9732" max="9732" width="13.85546875" style="44" customWidth="1"/>
    <col min="9733" max="9733" width="24.42578125" style="44" customWidth="1"/>
    <col min="9734" max="9734" width="20.5703125" style="44" customWidth="1"/>
    <col min="9735" max="9987" width="11.42578125" style="44" customWidth="1"/>
    <col min="9988" max="9988" width="13.85546875" style="44" customWidth="1"/>
    <col min="9989" max="9989" width="24.42578125" style="44" customWidth="1"/>
    <col min="9990" max="9990" width="20.5703125" style="44" customWidth="1"/>
    <col min="9991" max="10243" width="11.42578125" style="44" customWidth="1"/>
    <col min="10244" max="10244" width="13.85546875" style="44" customWidth="1"/>
    <col min="10245" max="10245" width="24.42578125" style="44" customWidth="1"/>
    <col min="10246" max="10246" width="20.5703125" style="44" customWidth="1"/>
    <col min="10247" max="10499" width="11.42578125" style="44" customWidth="1"/>
    <col min="10500" max="10500" width="13.85546875" style="44" customWidth="1"/>
    <col min="10501" max="10501" width="24.42578125" style="44" customWidth="1"/>
    <col min="10502" max="10502" width="20.5703125" style="44" customWidth="1"/>
    <col min="10503" max="10755" width="11.42578125" style="44" customWidth="1"/>
    <col min="10756" max="10756" width="13.85546875" style="44" customWidth="1"/>
    <col min="10757" max="10757" width="24.42578125" style="44" customWidth="1"/>
    <col min="10758" max="10758" width="20.5703125" style="44" customWidth="1"/>
    <col min="10759" max="11011" width="11.42578125" style="44" customWidth="1"/>
    <col min="11012" max="11012" width="13.85546875" style="44" customWidth="1"/>
    <col min="11013" max="11013" width="24.42578125" style="44" customWidth="1"/>
    <col min="11014" max="11014" width="20.5703125" style="44" customWidth="1"/>
    <col min="11015" max="11267" width="11.42578125" style="44" customWidth="1"/>
    <col min="11268" max="11268" width="13.85546875" style="44" customWidth="1"/>
    <col min="11269" max="11269" width="24.42578125" style="44" customWidth="1"/>
    <col min="11270" max="11270" width="20.5703125" style="44" customWidth="1"/>
    <col min="11271" max="11523" width="11.42578125" style="44" customWidth="1"/>
    <col min="11524" max="11524" width="13.85546875" style="44" customWidth="1"/>
    <col min="11525" max="11525" width="24.42578125" style="44" customWidth="1"/>
    <col min="11526" max="11526" width="20.5703125" style="44" customWidth="1"/>
    <col min="11527" max="11779" width="11.42578125" style="44" customWidth="1"/>
    <col min="11780" max="11780" width="13.85546875" style="44" customWidth="1"/>
    <col min="11781" max="11781" width="24.42578125" style="44" customWidth="1"/>
    <col min="11782" max="11782" width="20.5703125" style="44" customWidth="1"/>
    <col min="11783" max="12035" width="11.42578125" style="44" customWidth="1"/>
    <col min="12036" max="12036" width="13.85546875" style="44" customWidth="1"/>
    <col min="12037" max="12037" width="24.42578125" style="44" customWidth="1"/>
    <col min="12038" max="12038" width="20.5703125" style="44" customWidth="1"/>
    <col min="12039" max="12291" width="11.42578125" style="44" customWidth="1"/>
    <col min="12292" max="12292" width="13.85546875" style="44" customWidth="1"/>
    <col min="12293" max="12293" width="24.42578125" style="44" customWidth="1"/>
    <col min="12294" max="12294" width="20.5703125" style="44" customWidth="1"/>
    <col min="12295" max="12547" width="11.42578125" style="44" customWidth="1"/>
    <col min="12548" max="12548" width="13.85546875" style="44" customWidth="1"/>
    <col min="12549" max="12549" width="24.42578125" style="44" customWidth="1"/>
    <col min="12550" max="12550" width="20.5703125" style="44" customWidth="1"/>
    <col min="12551" max="12803" width="11.42578125" style="44" customWidth="1"/>
    <col min="12804" max="12804" width="13.85546875" style="44" customWidth="1"/>
    <col min="12805" max="12805" width="24.42578125" style="44" customWidth="1"/>
    <col min="12806" max="12806" width="20.5703125" style="44" customWidth="1"/>
    <col min="12807" max="13059" width="11.42578125" style="44" customWidth="1"/>
    <col min="13060" max="13060" width="13.85546875" style="44" customWidth="1"/>
    <col min="13061" max="13061" width="24.42578125" style="44" customWidth="1"/>
    <col min="13062" max="13062" width="20.5703125" style="44" customWidth="1"/>
    <col min="13063" max="13315" width="11.42578125" style="44" customWidth="1"/>
    <col min="13316" max="13316" width="13.85546875" style="44" customWidth="1"/>
    <col min="13317" max="13317" width="24.42578125" style="44" customWidth="1"/>
    <col min="13318" max="13318" width="20.5703125" style="44" customWidth="1"/>
    <col min="13319" max="13571" width="11.42578125" style="44" customWidth="1"/>
    <col min="13572" max="13572" width="13.85546875" style="44" customWidth="1"/>
    <col min="13573" max="13573" width="24.42578125" style="44" customWidth="1"/>
    <col min="13574" max="13574" width="20.5703125" style="44" customWidth="1"/>
    <col min="13575" max="13827" width="11.42578125" style="44" customWidth="1"/>
    <col min="13828" max="13828" width="13.85546875" style="44" customWidth="1"/>
    <col min="13829" max="13829" width="24.42578125" style="44" customWidth="1"/>
    <col min="13830" max="13830" width="20.5703125" style="44" customWidth="1"/>
    <col min="13831" max="14083" width="11.42578125" style="44" customWidth="1"/>
    <col min="14084" max="14084" width="13.85546875" style="44" customWidth="1"/>
    <col min="14085" max="14085" width="24.42578125" style="44" customWidth="1"/>
    <col min="14086" max="14086" width="20.5703125" style="44" customWidth="1"/>
    <col min="14087" max="14339" width="11.42578125" style="44" customWidth="1"/>
    <col min="14340" max="14340" width="13.85546875" style="44" customWidth="1"/>
    <col min="14341" max="14341" width="24.42578125" style="44" customWidth="1"/>
    <col min="14342" max="14342" width="20.5703125" style="44" customWidth="1"/>
    <col min="14343" max="14595" width="11.42578125" style="44" customWidth="1"/>
    <col min="14596" max="14596" width="13.85546875" style="44" customWidth="1"/>
    <col min="14597" max="14597" width="24.42578125" style="44" customWidth="1"/>
    <col min="14598" max="14598" width="20.5703125" style="44" customWidth="1"/>
    <col min="14599" max="14851" width="11.42578125" style="44" customWidth="1"/>
    <col min="14852" max="14852" width="13.85546875" style="44" customWidth="1"/>
    <col min="14853" max="14853" width="24.42578125" style="44" customWidth="1"/>
    <col min="14854" max="14854" width="20.5703125" style="44" customWidth="1"/>
    <col min="14855" max="15107" width="11.42578125" style="44" customWidth="1"/>
    <col min="15108" max="15108" width="13.85546875" style="44" customWidth="1"/>
    <col min="15109" max="15109" width="24.42578125" style="44" customWidth="1"/>
    <col min="15110" max="15110" width="20.5703125" style="44" customWidth="1"/>
    <col min="15111" max="15363" width="11.42578125" style="44" customWidth="1"/>
    <col min="15364" max="15364" width="13.85546875" style="44" customWidth="1"/>
    <col min="15365" max="15365" width="24.42578125" style="44" customWidth="1"/>
    <col min="15366" max="15366" width="20.5703125" style="44" customWidth="1"/>
    <col min="15367" max="15619" width="11.42578125" style="44" customWidth="1"/>
    <col min="15620" max="15620" width="13.85546875" style="44" customWidth="1"/>
    <col min="15621" max="15621" width="24.42578125" style="44" customWidth="1"/>
    <col min="15622" max="15622" width="20.5703125" style="44" customWidth="1"/>
    <col min="15623" max="15875" width="11.42578125" style="44" customWidth="1"/>
    <col min="15876" max="15876" width="13.85546875" style="44" customWidth="1"/>
    <col min="15877" max="15877" width="24.42578125" style="44" customWidth="1"/>
    <col min="15878" max="15878" width="20.5703125" style="44" customWidth="1"/>
    <col min="15879" max="16131" width="11.42578125" style="44" customWidth="1"/>
    <col min="16132" max="16132" width="13.85546875" style="44" customWidth="1"/>
    <col min="16133" max="16133" width="24.42578125" style="44" customWidth="1"/>
    <col min="16134" max="16134" width="20.5703125" style="44" customWidth="1"/>
    <col min="16135" max="16384" width="11.42578125" style="44" customWidth="1"/>
  </cols>
  <sheetData>
    <row r="12" spans="2:4" x14ac:dyDescent="0.3">
      <c r="C12" s="141" t="s">
        <v>2</v>
      </c>
      <c r="D12" s="141" t="s">
        <v>3</v>
      </c>
    </row>
    <row r="13" spans="2:4" x14ac:dyDescent="0.3">
      <c r="B13" s="94" t="s">
        <v>48</v>
      </c>
      <c r="C13" s="94" t="s">
        <v>49</v>
      </c>
      <c r="D13" s="94" t="s">
        <v>50</v>
      </c>
    </row>
    <row r="14" spans="2:4" x14ac:dyDescent="0.3">
      <c r="B14" s="95" t="s">
        <v>51</v>
      </c>
      <c r="C14" s="95">
        <v>2.8330000000000002</v>
      </c>
      <c r="D14" s="95">
        <v>31.5</v>
      </c>
    </row>
    <row r="15" spans="2:4" x14ac:dyDescent="0.3">
      <c r="B15" s="95" t="s">
        <v>52</v>
      </c>
      <c r="C15" s="95">
        <v>1.2330000000000001</v>
      </c>
      <c r="D15" s="95">
        <v>30.5</v>
      </c>
    </row>
    <row r="16" spans="2:4" x14ac:dyDescent="0.3">
      <c r="B16" s="95" t="s">
        <v>53</v>
      </c>
      <c r="C16" s="95">
        <v>2.1440000000000001</v>
      </c>
      <c r="D16" s="95">
        <v>30.9</v>
      </c>
    </row>
    <row r="17" spans="2:12" x14ac:dyDescent="0.3">
      <c r="B17" s="95" t="s">
        <v>54</v>
      </c>
      <c r="C17" s="95">
        <v>3.8490000000000002</v>
      </c>
      <c r="D17" s="95">
        <v>31.6</v>
      </c>
    </row>
    <row r="18" spans="2:12" x14ac:dyDescent="0.3">
      <c r="B18" s="95" t="s">
        <v>55</v>
      </c>
      <c r="C18" s="95">
        <v>8.2140000000000004</v>
      </c>
      <c r="D18" s="95">
        <v>34.200000000000003</v>
      </c>
    </row>
    <row r="19" spans="2:12" x14ac:dyDescent="0.3">
      <c r="B19" s="95" t="s">
        <v>56</v>
      </c>
      <c r="C19" s="95">
        <v>1.448</v>
      </c>
      <c r="D19" s="95">
        <v>34.299999999999997</v>
      </c>
    </row>
    <row r="20" spans="2:12" x14ac:dyDescent="0.3">
      <c r="B20" s="95" t="s">
        <v>57</v>
      </c>
      <c r="C20" s="95">
        <v>1.5129999999999999</v>
      </c>
      <c r="D20" s="95">
        <v>30.7</v>
      </c>
    </row>
    <row r="21" spans="2:12" x14ac:dyDescent="0.3">
      <c r="B21" s="95" t="s">
        <v>58</v>
      </c>
      <c r="C21" s="95">
        <v>1.2969999999999999</v>
      </c>
      <c r="D21" s="95">
        <v>31.7</v>
      </c>
    </row>
    <row r="22" spans="2:12" x14ac:dyDescent="0.3">
      <c r="B22" s="95" t="s">
        <v>59</v>
      </c>
      <c r="C22" s="95">
        <v>1.2569999999999999</v>
      </c>
      <c r="D22" s="95">
        <v>32.5</v>
      </c>
    </row>
    <row r="23" spans="2:12" x14ac:dyDescent="0.3">
      <c r="B23" s="95" t="s">
        <v>60</v>
      </c>
      <c r="C23" s="95">
        <v>0.93</v>
      </c>
      <c r="D23" s="95">
        <v>32.6</v>
      </c>
    </row>
    <row r="26" spans="2:12" x14ac:dyDescent="0.3">
      <c r="H26" s="43" t="s">
        <v>121</v>
      </c>
      <c r="I26" s="98" t="s">
        <v>76</v>
      </c>
    </row>
    <row r="27" spans="2:12" x14ac:dyDescent="0.3">
      <c r="I27" s="98" t="s">
        <v>38</v>
      </c>
      <c r="J27" s="96">
        <f>INTERCEPT(D14:D23,C14:C23)</f>
        <v>31.382935314569096</v>
      </c>
      <c r="L27" s="44" t="s">
        <v>156</v>
      </c>
    </row>
    <row r="28" spans="2:12" x14ac:dyDescent="0.3">
      <c r="I28" s="98" t="s">
        <v>37</v>
      </c>
      <c r="J28" s="96">
        <f>SLOPE(D14:D23,C14:C23)</f>
        <v>0.26987000786103249</v>
      </c>
      <c r="L28" s="44" t="s">
        <v>157</v>
      </c>
    </row>
    <row r="29" spans="2:12" x14ac:dyDescent="0.3">
      <c r="I29" s="98" t="s">
        <v>77</v>
      </c>
      <c r="J29" s="43" t="s">
        <v>78</v>
      </c>
      <c r="K29" s="43"/>
    </row>
    <row r="31" spans="2:12" x14ac:dyDescent="0.3">
      <c r="H31" s="43" t="s">
        <v>122</v>
      </c>
      <c r="I31" s="98" t="s">
        <v>79</v>
      </c>
    </row>
    <row r="32" spans="2:12" ht="18" x14ac:dyDescent="0.3">
      <c r="I32" s="98" t="s">
        <v>158</v>
      </c>
      <c r="J32" s="96">
        <f>RSQ(D14:D23,C14:C23)</f>
        <v>0.19511444906875461</v>
      </c>
      <c r="K32" s="44" t="s">
        <v>81</v>
      </c>
    </row>
    <row r="36" spans="9:11" x14ac:dyDescent="0.3">
      <c r="I36" s="98" t="s">
        <v>14</v>
      </c>
      <c r="J36" s="97">
        <f>J28*2.5+J27</f>
        <v>32.057610334221678</v>
      </c>
      <c r="K36" s="44" t="s">
        <v>80</v>
      </c>
    </row>
    <row r="37" spans="9:11" ht="18" x14ac:dyDescent="0.3">
      <c r="I37" s="44" t="s">
        <v>159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Estatura-Peso</vt:lpstr>
      <vt:lpstr>Sandías</vt:lpstr>
      <vt:lpstr>Publicidad</vt:lpstr>
      <vt:lpstr>Producción_agrícola</vt:lpstr>
      <vt:lpstr>Población</vt:lpstr>
      <vt:lpstr>Estatura</vt:lpstr>
      <vt:lpstr>Peso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usuario</cp:lastModifiedBy>
  <dcterms:created xsi:type="dcterms:W3CDTF">2014-10-23T09:05:35Z</dcterms:created>
  <dcterms:modified xsi:type="dcterms:W3CDTF">2022-06-03T00:14:09Z</dcterms:modified>
</cp:coreProperties>
</file>