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PARA COPIAR\estadistica_I\proyectoPID\practica7_2022\"/>
    </mc:Choice>
  </mc:AlternateContent>
  <bookViews>
    <workbookView xWindow="0" yWindow="0" windowWidth="28800" windowHeight="14685" activeTab="5"/>
  </bookViews>
  <sheets>
    <sheet name="Estatura-Peso No lineal" sheetId="21" r:id="rId1"/>
    <sheet name="Refrescos" sheetId="13" r:id="rId2"/>
    <sheet name="Publicidad" sheetId="14" r:id="rId3"/>
    <sheet name="Producción_agrícola" sheetId="15" r:id="rId4"/>
    <sheet name="Piezas" sheetId="16" r:id="rId5"/>
    <sheet name="Familias" sheetId="22" r:id="rId6"/>
  </sheets>
  <definedNames>
    <definedName name="ADSL">#REF!</definedName>
    <definedName name="_xlnm.Print_Area" localSheetId="2">Publicidad!$B$12:$H$42</definedName>
    <definedName name="Deporte">#REF!</definedName>
    <definedName name="Estatura">'Estatura-Peso No lineal'!$B$4:$B$140</definedName>
    <definedName name="Estatura_d">#REF!</definedName>
    <definedName name="Hermanos">#REF!</definedName>
    <definedName name="Horasred">#REF!</definedName>
    <definedName name="lnX" localSheetId="0">'Estatura-Peso No lineal'!$D$4:$D$140</definedName>
    <definedName name="Nota.Bach.">#REF!</definedName>
    <definedName name="Notaglobal">#REF!</definedName>
    <definedName name="Ordenador">#REF!</definedName>
    <definedName name="Peso">'Estatura-Peso No lineal'!$C$4:$C$140</definedName>
    <definedName name="Peso_d">#REF!</definedName>
    <definedName name="Redsocial">#REF!</definedName>
    <definedName name="Residencia">#REF!</definedName>
    <definedName name="sexo">#REF!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31" i="13" l="1"/>
  <c r="O31" i="13"/>
  <c r="R34" i="21"/>
  <c r="P34" i="21"/>
  <c r="K27" i="21"/>
  <c r="K15" i="16" l="1"/>
  <c r="J35" i="13" l="1"/>
  <c r="J32" i="13"/>
  <c r="J27" i="13"/>
  <c r="J26" i="13"/>
  <c r="J22" i="13"/>
  <c r="J25" i="13" s="1"/>
  <c r="K28" i="21"/>
  <c r="G25" i="22" l="1"/>
  <c r="F25" i="22"/>
  <c r="F26" i="22" s="1"/>
  <c r="E25" i="22"/>
  <c r="C24" i="22"/>
  <c r="C25" i="22" s="1"/>
  <c r="G23" i="22"/>
  <c r="F23" i="22"/>
  <c r="D23" i="22"/>
  <c r="E23" i="22" s="1"/>
  <c r="G22" i="22"/>
  <c r="F22" i="22"/>
  <c r="D22" i="22"/>
  <c r="E22" i="22" s="1"/>
  <c r="G21" i="22"/>
  <c r="F21" i="22"/>
  <c r="D21" i="22"/>
  <c r="E21" i="22" s="1"/>
  <c r="G20" i="22"/>
  <c r="F20" i="22"/>
  <c r="D20" i="22"/>
  <c r="E20" i="22" s="1"/>
  <c r="G19" i="22"/>
  <c r="F19" i="22"/>
  <c r="D19" i="22"/>
  <c r="E19" i="22" s="1"/>
  <c r="G18" i="22"/>
  <c r="F18" i="22"/>
  <c r="D18" i="22"/>
  <c r="E18" i="22" s="1"/>
  <c r="G17" i="22"/>
  <c r="F17" i="22"/>
  <c r="E17" i="22"/>
  <c r="D17" i="22"/>
  <c r="G16" i="22"/>
  <c r="F16" i="22"/>
  <c r="E16" i="22"/>
  <c r="D16" i="22"/>
  <c r="G15" i="22"/>
  <c r="F15" i="22"/>
  <c r="D15" i="22"/>
  <c r="D24" i="22" s="1"/>
  <c r="D25" i="22" s="1"/>
  <c r="G14" i="22"/>
  <c r="F14" i="22"/>
  <c r="D14" i="22"/>
  <c r="G30" i="22" s="1"/>
  <c r="E26" i="22" l="1"/>
  <c r="G26" i="22"/>
  <c r="G29" i="22"/>
  <c r="E15" i="22"/>
  <c r="E14" i="22"/>
  <c r="G34" i="22"/>
  <c r="G36" i="22" l="1"/>
  <c r="H22" i="22"/>
  <c r="I22" i="22" s="1"/>
  <c r="J22" i="22" s="1"/>
  <c r="H18" i="22"/>
  <c r="I18" i="22" s="1"/>
  <c r="J18" i="22" s="1"/>
  <c r="H20" i="22"/>
  <c r="I20" i="22" s="1"/>
  <c r="J20" i="22" s="1"/>
  <c r="H16" i="22"/>
  <c r="I16" i="22" s="1"/>
  <c r="J16" i="22" s="1"/>
  <c r="H23" i="22"/>
  <c r="I23" i="22" s="1"/>
  <c r="J23" i="22" s="1"/>
  <c r="H19" i="22"/>
  <c r="I19" i="22" s="1"/>
  <c r="J19" i="22" s="1"/>
  <c r="H15" i="22"/>
  <c r="I15" i="22" s="1"/>
  <c r="J15" i="22" s="1"/>
  <c r="H21" i="22"/>
  <c r="I21" i="22" s="1"/>
  <c r="J21" i="22" s="1"/>
  <c r="H17" i="22"/>
  <c r="I17" i="22" s="1"/>
  <c r="J17" i="22" s="1"/>
  <c r="H14" i="22"/>
  <c r="I14" i="22" s="1"/>
  <c r="I24" i="22" l="1"/>
  <c r="J14" i="22"/>
  <c r="J24" i="22" s="1"/>
  <c r="J25" i="22" s="1"/>
  <c r="G32" i="22" s="1"/>
  <c r="G33" i="22" s="1"/>
  <c r="J23" i="13"/>
  <c r="D140" i="21" l="1"/>
  <c r="D139" i="21"/>
  <c r="D138" i="21"/>
  <c r="D137" i="21"/>
  <c r="D136" i="21"/>
  <c r="D135" i="21"/>
  <c r="D134" i="21"/>
  <c r="D133" i="21"/>
  <c r="D132" i="21"/>
  <c r="D131" i="21"/>
  <c r="D130" i="21"/>
  <c r="D129" i="21"/>
  <c r="D128" i="21"/>
  <c r="D127" i="21"/>
  <c r="D126" i="21"/>
  <c r="D125" i="21"/>
  <c r="D124" i="21"/>
  <c r="D123" i="21"/>
  <c r="D122" i="21"/>
  <c r="D121" i="21"/>
  <c r="D120" i="21"/>
  <c r="D119" i="21"/>
  <c r="D118" i="21"/>
  <c r="D117" i="21"/>
  <c r="D116" i="21"/>
  <c r="D115" i="21"/>
  <c r="D114" i="21"/>
  <c r="D113" i="21"/>
  <c r="D112" i="21"/>
  <c r="D111" i="21"/>
  <c r="D110" i="21"/>
  <c r="D109" i="21"/>
  <c r="D108" i="21"/>
  <c r="D107" i="21"/>
  <c r="D106" i="21"/>
  <c r="D105" i="21"/>
  <c r="D104" i="21"/>
  <c r="D103" i="21"/>
  <c r="D102" i="21"/>
  <c r="D101" i="21"/>
  <c r="D100" i="21"/>
  <c r="D99" i="21"/>
  <c r="D98" i="21"/>
  <c r="D97" i="21"/>
  <c r="D96" i="21"/>
  <c r="D95" i="21"/>
  <c r="D94" i="21"/>
  <c r="D93" i="21"/>
  <c r="D92" i="21"/>
  <c r="D91" i="21"/>
  <c r="D90" i="21"/>
  <c r="D89" i="21"/>
  <c r="D88" i="21"/>
  <c r="D87" i="21"/>
  <c r="D86" i="21"/>
  <c r="D85" i="21"/>
  <c r="D84" i="21"/>
  <c r="D83" i="21"/>
  <c r="D82" i="21"/>
  <c r="D81" i="21"/>
  <c r="D80" i="21"/>
  <c r="D79" i="21"/>
  <c r="D78" i="21"/>
  <c r="D77" i="21"/>
  <c r="D76" i="21"/>
  <c r="D75" i="21"/>
  <c r="D74" i="21"/>
  <c r="D73" i="21"/>
  <c r="D72" i="21"/>
  <c r="D71" i="21"/>
  <c r="D70" i="21"/>
  <c r="D69" i="21"/>
  <c r="D68" i="21"/>
  <c r="D67" i="21"/>
  <c r="D66" i="21"/>
  <c r="D65" i="21"/>
  <c r="D64" i="21"/>
  <c r="D63" i="21"/>
  <c r="D62" i="21"/>
  <c r="D61" i="21"/>
  <c r="D60" i="21"/>
  <c r="D59" i="21"/>
  <c r="D58" i="21"/>
  <c r="D57" i="21"/>
  <c r="D56" i="21"/>
  <c r="D55" i="21"/>
  <c r="D54" i="21"/>
  <c r="D53" i="21"/>
  <c r="D52" i="21"/>
  <c r="D51" i="21"/>
  <c r="D50" i="21"/>
  <c r="D49" i="21"/>
  <c r="D48" i="21"/>
  <c r="D47" i="21"/>
  <c r="D46" i="21"/>
  <c r="D45" i="21"/>
  <c r="D44" i="21"/>
  <c r="D43" i="21"/>
  <c r="D42" i="21"/>
  <c r="D41" i="21"/>
  <c r="D40" i="21"/>
  <c r="D39" i="21"/>
  <c r="D38" i="21"/>
  <c r="D37" i="21"/>
  <c r="D36" i="21"/>
  <c r="D35" i="21"/>
  <c r="D34" i="21"/>
  <c r="D33" i="21"/>
  <c r="D32" i="21"/>
  <c r="D31" i="21"/>
  <c r="D30" i="21"/>
  <c r="D29" i="21"/>
  <c r="D28" i="21"/>
  <c r="D27" i="21"/>
  <c r="D26" i="21"/>
  <c r="D25" i="21"/>
  <c r="D24" i="21"/>
  <c r="D23" i="21"/>
  <c r="D22" i="21"/>
  <c r="D21" i="21"/>
  <c r="D20" i="21"/>
  <c r="D19" i="21"/>
  <c r="D18" i="21"/>
  <c r="D17" i="21"/>
  <c r="D16" i="21"/>
  <c r="D15" i="21"/>
  <c r="D14" i="21"/>
  <c r="D13" i="21"/>
  <c r="D12" i="21"/>
  <c r="D11" i="21"/>
  <c r="D10" i="21"/>
  <c r="D9" i="21"/>
  <c r="D8" i="21"/>
  <c r="D7" i="21"/>
  <c r="D6" i="21"/>
  <c r="D5" i="21"/>
  <c r="D4" i="21"/>
  <c r="K26" i="21"/>
  <c r="M5" i="21" l="1"/>
  <c r="M3" i="21"/>
  <c r="K31" i="21"/>
  <c r="K45" i="21" l="1"/>
  <c r="K40" i="21"/>
  <c r="K35" i="21"/>
  <c r="E105" i="21"/>
  <c r="F105" i="21" s="1"/>
  <c r="G105" i="21" s="1"/>
  <c r="E65" i="21"/>
  <c r="F65" i="21" s="1"/>
  <c r="G65" i="21" s="1"/>
  <c r="E128" i="21"/>
  <c r="F128" i="21" s="1"/>
  <c r="G128" i="21" s="1"/>
  <c r="E109" i="21"/>
  <c r="F109" i="21" s="1"/>
  <c r="G109" i="21" s="1"/>
  <c r="E94" i="21"/>
  <c r="F94" i="21" s="1"/>
  <c r="G94" i="21" s="1"/>
  <c r="E75" i="21"/>
  <c r="F75" i="21" s="1"/>
  <c r="G75" i="21" s="1"/>
  <c r="E61" i="21"/>
  <c r="F61" i="21" s="1"/>
  <c r="G61" i="21" s="1"/>
  <c r="E45" i="21"/>
  <c r="F45" i="21" s="1"/>
  <c r="G45" i="21" s="1"/>
  <c r="E29" i="21"/>
  <c r="F29" i="21" s="1"/>
  <c r="G29" i="21" s="1"/>
  <c r="E13" i="21"/>
  <c r="F13" i="21" s="1"/>
  <c r="G13" i="21" s="1"/>
  <c r="E74" i="21"/>
  <c r="F74" i="21" s="1"/>
  <c r="G74" i="21" s="1"/>
  <c r="E55" i="21"/>
  <c r="F55" i="21" s="1"/>
  <c r="G55" i="21" s="1"/>
  <c r="E39" i="21"/>
  <c r="F39" i="21" s="1"/>
  <c r="G39" i="21" s="1"/>
  <c r="E23" i="21"/>
  <c r="F23" i="21" s="1"/>
  <c r="G23" i="21" s="1"/>
  <c r="E7" i="21"/>
  <c r="F7" i="21" s="1"/>
  <c r="G7" i="21" s="1"/>
  <c r="E115" i="21"/>
  <c r="F115" i="21" s="1"/>
  <c r="G115" i="21" s="1"/>
  <c r="E130" i="21"/>
  <c r="F130" i="21" s="1"/>
  <c r="G130" i="21" s="1"/>
  <c r="E117" i="21"/>
  <c r="F117" i="21" s="1"/>
  <c r="G117" i="21" s="1"/>
  <c r="E99" i="21"/>
  <c r="F99" i="21" s="1"/>
  <c r="G99" i="21" s="1"/>
  <c r="E86" i="21"/>
  <c r="F86" i="21" s="1"/>
  <c r="G86" i="21" s="1"/>
  <c r="E69" i="21"/>
  <c r="F69" i="21" s="1"/>
  <c r="G69" i="21" s="1"/>
  <c r="E53" i="21"/>
  <c r="F53" i="21" s="1"/>
  <c r="G53" i="21" s="1"/>
  <c r="E37" i="21"/>
  <c r="F37" i="21" s="1"/>
  <c r="G37" i="21" s="1"/>
  <c r="E21" i="21"/>
  <c r="F21" i="21" s="1"/>
  <c r="G21" i="21" s="1"/>
  <c r="E120" i="21"/>
  <c r="F120" i="21" s="1"/>
  <c r="G120" i="21" s="1"/>
  <c r="E137" i="21"/>
  <c r="F137" i="21" s="1"/>
  <c r="G137" i="21" s="1"/>
  <c r="E121" i="21"/>
  <c r="F121" i="21" s="1"/>
  <c r="G121" i="21" s="1"/>
  <c r="E107" i="21"/>
  <c r="F107" i="21" s="1"/>
  <c r="G107" i="21" s="1"/>
  <c r="E92" i="21"/>
  <c r="F92" i="21" s="1"/>
  <c r="G92" i="21" s="1"/>
  <c r="E76" i="21"/>
  <c r="F76" i="21" s="1"/>
  <c r="G76" i="21" s="1"/>
  <c r="E63" i="21"/>
  <c r="F63" i="21" s="1"/>
  <c r="G63" i="21" s="1"/>
  <c r="E47" i="21"/>
  <c r="F47" i="21" s="1"/>
  <c r="G47" i="21" s="1"/>
  <c r="E31" i="21"/>
  <c r="F31" i="21" s="1"/>
  <c r="G31" i="21" s="1"/>
  <c r="E15" i="21"/>
  <c r="F15" i="21" s="1"/>
  <c r="G15" i="21" s="1"/>
  <c r="E4" i="21"/>
  <c r="F4" i="21" s="1"/>
  <c r="E122" i="21"/>
  <c r="F122" i="21" s="1"/>
  <c r="G122" i="21" s="1"/>
  <c r="E106" i="21"/>
  <c r="F106" i="21" s="1"/>
  <c r="G106" i="21" s="1"/>
  <c r="E91" i="21"/>
  <c r="F91" i="21" s="1"/>
  <c r="G91" i="21" s="1"/>
  <c r="E72" i="21"/>
  <c r="F72" i="21" s="1"/>
  <c r="G72" i="21" s="1"/>
  <c r="E56" i="21"/>
  <c r="F56" i="21" s="1"/>
  <c r="G56" i="21" s="1"/>
  <c r="E40" i="21"/>
  <c r="F40" i="21" s="1"/>
  <c r="G40" i="21" s="1"/>
  <c r="E24" i="21"/>
  <c r="F24" i="21" s="1"/>
  <c r="G24" i="21" s="1"/>
  <c r="E8" i="21"/>
  <c r="F8" i="21" s="1"/>
  <c r="G8" i="21" s="1"/>
  <c r="E71" i="21"/>
  <c r="F71" i="21" s="1"/>
  <c r="G71" i="21" s="1"/>
  <c r="E49" i="21"/>
  <c r="F49" i="21" s="1"/>
  <c r="G49" i="21" s="1"/>
  <c r="E33" i="21"/>
  <c r="F33" i="21" s="1"/>
  <c r="G33" i="21" s="1"/>
  <c r="E17" i="21"/>
  <c r="F17" i="21" s="1"/>
  <c r="G17" i="21" s="1"/>
  <c r="E139" i="21"/>
  <c r="F139" i="21" s="1"/>
  <c r="G139" i="21" s="1"/>
  <c r="E100" i="21"/>
  <c r="F100" i="21" s="1"/>
  <c r="G100" i="21" s="1"/>
  <c r="E127" i="21"/>
  <c r="F127" i="21" s="1"/>
  <c r="G127" i="21" s="1"/>
  <c r="E114" i="21"/>
  <c r="F114" i="21" s="1"/>
  <c r="G114" i="21" s="1"/>
  <c r="E96" i="21"/>
  <c r="F96" i="21" s="1"/>
  <c r="G96" i="21" s="1"/>
  <c r="E83" i="21"/>
  <c r="F83" i="21" s="1"/>
  <c r="G83" i="21" s="1"/>
  <c r="E64" i="21"/>
  <c r="F64" i="21" s="1"/>
  <c r="G64" i="21" s="1"/>
  <c r="E48" i="21"/>
  <c r="F48" i="21" s="1"/>
  <c r="G48" i="21" s="1"/>
  <c r="E32" i="21"/>
  <c r="F32" i="21" s="1"/>
  <c r="G32" i="21" s="1"/>
  <c r="E16" i="21"/>
  <c r="F16" i="21" s="1"/>
  <c r="G16" i="21" s="1"/>
  <c r="E102" i="21"/>
  <c r="F102" i="21" s="1"/>
  <c r="G102" i="21" s="1"/>
  <c r="E132" i="21"/>
  <c r="F132" i="21" s="1"/>
  <c r="G132" i="21" s="1"/>
  <c r="E118" i="21"/>
  <c r="F118" i="21" s="1"/>
  <c r="G118" i="21" s="1"/>
  <c r="E104" i="21"/>
  <c r="F104" i="21" s="1"/>
  <c r="G104" i="21" s="1"/>
  <c r="E85" i="21"/>
  <c r="F85" i="21" s="1"/>
  <c r="G85" i="21" s="1"/>
  <c r="E73" i="21"/>
  <c r="F73" i="21" s="1"/>
  <c r="G73" i="21" s="1"/>
  <c r="E57" i="21"/>
  <c r="F57" i="21" s="1"/>
  <c r="G57" i="21" s="1"/>
  <c r="E41" i="21"/>
  <c r="F41" i="21" s="1"/>
  <c r="G41" i="21" s="1"/>
  <c r="E25" i="21"/>
  <c r="F25" i="21" s="1"/>
  <c r="G25" i="21" s="1"/>
  <c r="E9" i="21"/>
  <c r="F9" i="21" s="1"/>
  <c r="G9" i="21" s="1"/>
  <c r="E131" i="21"/>
  <c r="F131" i="21" s="1"/>
  <c r="G131" i="21" s="1"/>
  <c r="E90" i="21"/>
  <c r="F90" i="21" s="1"/>
  <c r="G90" i="21" s="1"/>
  <c r="E135" i="21"/>
  <c r="F135" i="21" s="1"/>
  <c r="G135" i="21" s="1"/>
  <c r="E116" i="21"/>
  <c r="F116" i="21" s="1"/>
  <c r="G116" i="21" s="1"/>
  <c r="E103" i="21"/>
  <c r="F103" i="21" s="1"/>
  <c r="G103" i="21" s="1"/>
  <c r="E88" i="21"/>
  <c r="F88" i="21" s="1"/>
  <c r="G88" i="21" s="1"/>
  <c r="E70" i="21"/>
  <c r="F70" i="21" s="1"/>
  <c r="G70" i="21" s="1"/>
  <c r="E54" i="21"/>
  <c r="F54" i="21" s="1"/>
  <c r="G54" i="21" s="1"/>
  <c r="E38" i="21"/>
  <c r="F38" i="21" s="1"/>
  <c r="G38" i="21" s="1"/>
  <c r="E22" i="21"/>
  <c r="F22" i="21" s="1"/>
  <c r="G22" i="21" s="1"/>
  <c r="E5" i="21"/>
  <c r="F5" i="21" s="1"/>
  <c r="G5" i="21" s="1"/>
  <c r="E60" i="21"/>
  <c r="F60" i="21" s="1"/>
  <c r="G60" i="21" s="1"/>
  <c r="E44" i="21"/>
  <c r="F44" i="21" s="1"/>
  <c r="G44" i="21" s="1"/>
  <c r="E28" i="21"/>
  <c r="F28" i="21" s="1"/>
  <c r="G28" i="21" s="1"/>
  <c r="E12" i="21"/>
  <c r="F12" i="21" s="1"/>
  <c r="G12" i="21" s="1"/>
  <c r="E134" i="21"/>
  <c r="F134" i="21" s="1"/>
  <c r="G134" i="21" s="1"/>
  <c r="E138" i="21"/>
  <c r="F138" i="21" s="1"/>
  <c r="G138" i="21" s="1"/>
  <c r="E125" i="21"/>
  <c r="F125" i="21" s="1"/>
  <c r="G125" i="21" s="1"/>
  <c r="E111" i="21"/>
  <c r="F111" i="21" s="1"/>
  <c r="G111" i="21" s="1"/>
  <c r="E93" i="21"/>
  <c r="F93" i="21" s="1"/>
  <c r="G93" i="21" s="1"/>
  <c r="E80" i="21"/>
  <c r="F80" i="21" s="1"/>
  <c r="G80" i="21" s="1"/>
  <c r="E62" i="21"/>
  <c r="F62" i="21" s="1"/>
  <c r="G62" i="21" s="1"/>
  <c r="E46" i="21"/>
  <c r="F46" i="21" s="1"/>
  <c r="G46" i="21" s="1"/>
  <c r="E30" i="21"/>
  <c r="F30" i="21" s="1"/>
  <c r="G30" i="21" s="1"/>
  <c r="E14" i="21"/>
  <c r="F14" i="21" s="1"/>
  <c r="G14" i="21" s="1"/>
  <c r="E87" i="21"/>
  <c r="F87" i="21" s="1"/>
  <c r="G87" i="21" s="1"/>
  <c r="E126" i="21"/>
  <c r="F126" i="21" s="1"/>
  <c r="G126" i="21" s="1"/>
  <c r="E113" i="21"/>
  <c r="F113" i="21" s="1"/>
  <c r="G113" i="21" s="1"/>
  <c r="E98" i="21"/>
  <c r="F98" i="21" s="1"/>
  <c r="G98" i="21" s="1"/>
  <c r="E82" i="21"/>
  <c r="F82" i="21" s="1"/>
  <c r="G82" i="21" s="1"/>
  <c r="E68" i="21"/>
  <c r="F68" i="21" s="1"/>
  <c r="G68" i="21" s="1"/>
  <c r="E52" i="21"/>
  <c r="F52" i="21" s="1"/>
  <c r="G52" i="21" s="1"/>
  <c r="E36" i="21"/>
  <c r="F36" i="21" s="1"/>
  <c r="G36" i="21" s="1"/>
  <c r="E20" i="21"/>
  <c r="F20" i="21" s="1"/>
  <c r="G20" i="21" s="1"/>
  <c r="E6" i="21"/>
  <c r="F6" i="21" s="1"/>
  <c r="G6" i="21" s="1"/>
  <c r="E97" i="21"/>
  <c r="F97" i="21" s="1"/>
  <c r="G97" i="21" s="1"/>
  <c r="E124" i="21"/>
  <c r="F124" i="21" s="1"/>
  <c r="G124" i="21" s="1"/>
  <c r="E81" i="21"/>
  <c r="F81" i="21" s="1"/>
  <c r="G81" i="21" s="1"/>
  <c r="E133" i="21"/>
  <c r="F133" i="21" s="1"/>
  <c r="G133" i="21" s="1"/>
  <c r="E112" i="21"/>
  <c r="F112" i="21" s="1"/>
  <c r="G112" i="21" s="1"/>
  <c r="E101" i="21"/>
  <c r="F101" i="21" s="1"/>
  <c r="G101" i="21" s="1"/>
  <c r="E78" i="21"/>
  <c r="F78" i="21" s="1"/>
  <c r="G78" i="21" s="1"/>
  <c r="E67" i="21"/>
  <c r="F67" i="21" s="1"/>
  <c r="G67" i="21" s="1"/>
  <c r="E51" i="21"/>
  <c r="F51" i="21" s="1"/>
  <c r="G51" i="21" s="1"/>
  <c r="E35" i="21"/>
  <c r="F35" i="21" s="1"/>
  <c r="G35" i="21" s="1"/>
  <c r="E19" i="21"/>
  <c r="F19" i="21" s="1"/>
  <c r="G19" i="21" s="1"/>
  <c r="E84" i="21"/>
  <c r="F84" i="21" s="1"/>
  <c r="G84" i="21" s="1"/>
  <c r="E58" i="21"/>
  <c r="F58" i="21" s="1"/>
  <c r="G58" i="21" s="1"/>
  <c r="E42" i="21"/>
  <c r="F42" i="21" s="1"/>
  <c r="G42" i="21" s="1"/>
  <c r="E26" i="21"/>
  <c r="F26" i="21" s="1"/>
  <c r="G26" i="21" s="1"/>
  <c r="E10" i="21"/>
  <c r="F10" i="21" s="1"/>
  <c r="G10" i="21" s="1"/>
  <c r="E129" i="21"/>
  <c r="F129" i="21" s="1"/>
  <c r="G129" i="21" s="1"/>
  <c r="E136" i="21"/>
  <c r="F136" i="21" s="1"/>
  <c r="G136" i="21" s="1"/>
  <c r="E119" i="21"/>
  <c r="F119" i="21" s="1"/>
  <c r="G119" i="21" s="1"/>
  <c r="E108" i="21"/>
  <c r="F108" i="21" s="1"/>
  <c r="G108" i="21" s="1"/>
  <c r="E89" i="21"/>
  <c r="F89" i="21" s="1"/>
  <c r="G89" i="21" s="1"/>
  <c r="E77" i="21"/>
  <c r="F77" i="21" s="1"/>
  <c r="G77" i="21" s="1"/>
  <c r="E59" i="21"/>
  <c r="F59" i="21" s="1"/>
  <c r="G59" i="21" s="1"/>
  <c r="E43" i="21"/>
  <c r="F43" i="21" s="1"/>
  <c r="G43" i="21" s="1"/>
  <c r="E27" i="21"/>
  <c r="F27" i="21" s="1"/>
  <c r="G27" i="21" s="1"/>
  <c r="E11" i="21"/>
  <c r="F11" i="21" s="1"/>
  <c r="G11" i="21" s="1"/>
  <c r="E140" i="21"/>
  <c r="F140" i="21" s="1"/>
  <c r="G140" i="21" s="1"/>
  <c r="E123" i="21"/>
  <c r="F123" i="21" s="1"/>
  <c r="G123" i="21" s="1"/>
  <c r="E110" i="21"/>
  <c r="F110" i="21" s="1"/>
  <c r="G110" i="21" s="1"/>
  <c r="E95" i="21"/>
  <c r="F95" i="21" s="1"/>
  <c r="G95" i="21" s="1"/>
  <c r="E79" i="21"/>
  <c r="F79" i="21" s="1"/>
  <c r="G79" i="21" s="1"/>
  <c r="E66" i="21"/>
  <c r="F66" i="21" s="1"/>
  <c r="G66" i="21" s="1"/>
  <c r="E50" i="21"/>
  <c r="F50" i="21" s="1"/>
  <c r="G50" i="21" s="1"/>
  <c r="E34" i="21"/>
  <c r="F34" i="21" s="1"/>
  <c r="G34" i="21" s="1"/>
  <c r="E18" i="21"/>
  <c r="F18" i="21" s="1"/>
  <c r="G18" i="21" s="1"/>
  <c r="G4" i="21" l="1"/>
  <c r="G141" i="21" s="1"/>
  <c r="K29" i="21" l="1"/>
  <c r="K30" i="21" s="1"/>
  <c r="N30" i="21" s="1"/>
  <c r="G20" i="15"/>
  <c r="G15" i="15"/>
  <c r="G14" i="15"/>
  <c r="D4" i="13"/>
  <c r="D5" i="13"/>
  <c r="D6" i="13"/>
  <c r="D7" i="13"/>
  <c r="D8" i="13"/>
  <c r="D9" i="13"/>
  <c r="D10" i="13"/>
  <c r="D11" i="13"/>
  <c r="D12" i="13"/>
  <c r="D13" i="13"/>
  <c r="D14" i="13"/>
  <c r="D15" i="13"/>
  <c r="D16" i="13"/>
  <c r="D17" i="13"/>
  <c r="D18" i="13"/>
  <c r="D19" i="13"/>
  <c r="D20" i="13"/>
  <c r="D21" i="13"/>
  <c r="D22" i="13"/>
  <c r="D3" i="13"/>
  <c r="J18" i="13" l="1"/>
  <c r="J20" i="13" s="1"/>
  <c r="J29" i="13"/>
  <c r="J19" i="13"/>
  <c r="J40" i="14"/>
  <c r="H17" i="14"/>
  <c r="H18" i="14"/>
  <c r="H19" i="14"/>
  <c r="H20" i="14"/>
  <c r="H21" i="14"/>
  <c r="H22" i="14"/>
  <c r="H23" i="14"/>
  <c r="H24" i="14"/>
  <c r="H25" i="14"/>
  <c r="H16" i="14"/>
  <c r="J39" i="14" s="1"/>
  <c r="I19" i="14" l="1"/>
  <c r="J19" i="14" s="1"/>
  <c r="K19" i="14" s="1"/>
  <c r="I23" i="14"/>
  <c r="J23" i="14" s="1"/>
  <c r="K23" i="14" s="1"/>
  <c r="I20" i="14"/>
  <c r="J20" i="14" s="1"/>
  <c r="K20" i="14" s="1"/>
  <c r="I24" i="14"/>
  <c r="J24" i="14" s="1"/>
  <c r="K24" i="14" s="1"/>
  <c r="I17" i="14"/>
  <c r="J17" i="14" s="1"/>
  <c r="K17" i="14" s="1"/>
  <c r="I21" i="14"/>
  <c r="J21" i="14" s="1"/>
  <c r="K21" i="14" s="1"/>
  <c r="I25" i="14"/>
  <c r="J25" i="14" s="1"/>
  <c r="K25" i="14" s="1"/>
  <c r="I18" i="14"/>
  <c r="J18" i="14" s="1"/>
  <c r="K18" i="14" s="1"/>
  <c r="I22" i="14"/>
  <c r="J22" i="14" s="1"/>
  <c r="K22" i="14" s="1"/>
  <c r="I16" i="14"/>
  <c r="J16" i="14" s="1"/>
  <c r="K16" i="14" s="1"/>
  <c r="E5" i="13"/>
  <c r="F5" i="13" s="1"/>
  <c r="E13" i="13"/>
  <c r="F13" i="13" s="1"/>
  <c r="E21" i="13"/>
  <c r="F21" i="13" s="1"/>
  <c r="E6" i="13"/>
  <c r="F6" i="13" s="1"/>
  <c r="E10" i="13"/>
  <c r="F10" i="13" s="1"/>
  <c r="E14" i="13"/>
  <c r="F14" i="13" s="1"/>
  <c r="E18" i="13"/>
  <c r="F18" i="13" s="1"/>
  <c r="E22" i="13"/>
  <c r="F22" i="13" s="1"/>
  <c r="E7" i="13"/>
  <c r="F7" i="13" s="1"/>
  <c r="E11" i="13"/>
  <c r="F11" i="13" s="1"/>
  <c r="E15" i="13"/>
  <c r="F15" i="13" s="1"/>
  <c r="E19" i="13"/>
  <c r="F19" i="13" s="1"/>
  <c r="E3" i="13"/>
  <c r="F3" i="13" s="1"/>
  <c r="E4" i="13"/>
  <c r="F4" i="13" s="1"/>
  <c r="E8" i="13"/>
  <c r="F8" i="13" s="1"/>
  <c r="E12" i="13"/>
  <c r="F12" i="13" s="1"/>
  <c r="E16" i="13"/>
  <c r="F16" i="13" s="1"/>
  <c r="E20" i="13"/>
  <c r="F20" i="13" s="1"/>
  <c r="E9" i="13"/>
  <c r="F9" i="13" s="1"/>
  <c r="E17" i="13"/>
  <c r="F17" i="13" s="1"/>
  <c r="E66" i="16"/>
  <c r="D66" i="16"/>
  <c r="E65" i="16"/>
  <c r="D65" i="16"/>
  <c r="E64" i="16"/>
  <c r="D64" i="16"/>
  <c r="E63" i="16"/>
  <c r="D63" i="16"/>
  <c r="E62" i="16"/>
  <c r="D62" i="16"/>
  <c r="E61" i="16"/>
  <c r="D61" i="16"/>
  <c r="E60" i="16"/>
  <c r="D60" i="16"/>
  <c r="E59" i="16"/>
  <c r="D59" i="16"/>
  <c r="E58" i="16"/>
  <c r="D58" i="16"/>
  <c r="E57" i="16"/>
  <c r="D57" i="16"/>
  <c r="E56" i="16"/>
  <c r="D56" i="16"/>
  <c r="E55" i="16"/>
  <c r="D55" i="16"/>
  <c r="E54" i="16"/>
  <c r="D54" i="16"/>
  <c r="E53" i="16"/>
  <c r="D53" i="16"/>
  <c r="E52" i="16"/>
  <c r="D52" i="16"/>
  <c r="E51" i="16"/>
  <c r="D51" i="16"/>
  <c r="E50" i="16"/>
  <c r="D50" i="16"/>
  <c r="E49" i="16"/>
  <c r="D49" i="16"/>
  <c r="E48" i="16"/>
  <c r="D48" i="16"/>
  <c r="E47" i="16"/>
  <c r="D47" i="16"/>
  <c r="E46" i="16"/>
  <c r="D46" i="16"/>
  <c r="E45" i="16"/>
  <c r="D45" i="16"/>
  <c r="E44" i="16"/>
  <c r="D44" i="16"/>
  <c r="E43" i="16"/>
  <c r="D43" i="16"/>
  <c r="E42" i="16"/>
  <c r="D42" i="16"/>
  <c r="E41" i="16"/>
  <c r="D41" i="16"/>
  <c r="E40" i="16"/>
  <c r="D40" i="16"/>
  <c r="E39" i="16"/>
  <c r="D39" i="16"/>
  <c r="E38" i="16"/>
  <c r="D38" i="16"/>
  <c r="E37" i="16"/>
  <c r="D37" i="16"/>
  <c r="E36" i="16"/>
  <c r="D36" i="16"/>
  <c r="E35" i="16"/>
  <c r="D35" i="16"/>
  <c r="E34" i="16"/>
  <c r="D34" i="16"/>
  <c r="E33" i="16"/>
  <c r="D33" i="16"/>
  <c r="E32" i="16"/>
  <c r="D32" i="16"/>
  <c r="E31" i="16"/>
  <c r="D31" i="16"/>
  <c r="E30" i="16"/>
  <c r="D30" i="16"/>
  <c r="E29" i="16"/>
  <c r="D29" i="16"/>
  <c r="E28" i="16"/>
  <c r="D28" i="16"/>
  <c r="E27" i="16"/>
  <c r="D27" i="16"/>
  <c r="E26" i="16"/>
  <c r="D26" i="16"/>
  <c r="E25" i="16"/>
  <c r="D25" i="16"/>
  <c r="E24" i="16"/>
  <c r="D24" i="16"/>
  <c r="K25" i="16"/>
  <c r="E23" i="16"/>
  <c r="D23" i="16"/>
  <c r="K24" i="16"/>
  <c r="E22" i="16"/>
  <c r="D22" i="16"/>
  <c r="K23" i="16"/>
  <c r="E21" i="16"/>
  <c r="D21" i="16"/>
  <c r="E20" i="16"/>
  <c r="D20" i="16"/>
  <c r="E19" i="16"/>
  <c r="D19" i="16"/>
  <c r="E18" i="16"/>
  <c r="D18" i="16"/>
  <c r="K17" i="16"/>
  <c r="E17" i="16"/>
  <c r="K32" i="16" s="1"/>
  <c r="D17" i="16"/>
  <c r="K26" i="16" l="1"/>
  <c r="K27" i="16"/>
  <c r="K26" i="14"/>
  <c r="J45" i="14" s="1"/>
  <c r="J46" i="14" s="1"/>
  <c r="K33" i="16"/>
  <c r="F50" i="16" s="1"/>
  <c r="G50" i="16" s="1"/>
  <c r="F42" i="16" l="1"/>
  <c r="G42" i="16" s="1"/>
  <c r="F31" i="16"/>
  <c r="G31" i="16" s="1"/>
  <c r="F64" i="16"/>
  <c r="G64" i="16" s="1"/>
  <c r="F44" i="16"/>
  <c r="G44" i="16" s="1"/>
  <c r="F37" i="16"/>
  <c r="G37" i="16" s="1"/>
  <c r="F34" i="16"/>
  <c r="G34" i="16" s="1"/>
  <c r="F54" i="16"/>
  <c r="G54" i="16" s="1"/>
  <c r="F48" i="16"/>
  <c r="G48" i="16" s="1"/>
  <c r="F38" i="16"/>
  <c r="G38" i="16" s="1"/>
  <c r="F35" i="16"/>
  <c r="G35" i="16" s="1"/>
  <c r="F21" i="16"/>
  <c r="G21" i="16" s="1"/>
  <c r="F60" i="16"/>
  <c r="G60" i="16" s="1"/>
  <c r="F53" i="16"/>
  <c r="G53" i="16" s="1"/>
  <c r="F62" i="16"/>
  <c r="G62" i="16" s="1"/>
  <c r="F65" i="16"/>
  <c r="G65" i="16" s="1"/>
  <c r="F41" i="16"/>
  <c r="G41" i="16" s="1"/>
  <c r="F17" i="16"/>
  <c r="G17" i="16" s="1"/>
  <c r="F47" i="16"/>
  <c r="G47" i="16" s="1"/>
  <c r="F28" i="16"/>
  <c r="G28" i="16" s="1"/>
  <c r="F20" i="16"/>
  <c r="G20" i="16" s="1"/>
  <c r="F25" i="16"/>
  <c r="G25" i="16" s="1"/>
  <c r="F51" i="16"/>
  <c r="G51" i="16" s="1"/>
  <c r="F32" i="16"/>
  <c r="G32" i="16" s="1"/>
  <c r="F23" i="16"/>
  <c r="G23" i="16" s="1"/>
  <c r="F57" i="16"/>
  <c r="G57" i="16" s="1"/>
  <c r="F66" i="16"/>
  <c r="G66" i="16" s="1"/>
  <c r="F26" i="16"/>
  <c r="G26" i="16" s="1"/>
  <c r="F58" i="16"/>
  <c r="G58" i="16" s="1"/>
  <c r="K36" i="16"/>
  <c r="F39" i="16"/>
  <c r="G39" i="16" s="1"/>
  <c r="F55" i="16"/>
  <c r="G55" i="16" s="1"/>
  <c r="F18" i="16"/>
  <c r="G18" i="16" s="1"/>
  <c r="F36" i="16"/>
  <c r="G36" i="16" s="1"/>
  <c r="F52" i="16"/>
  <c r="G52" i="16" s="1"/>
  <c r="F29" i="16"/>
  <c r="G29" i="16" s="1"/>
  <c r="F45" i="16"/>
  <c r="G45" i="16" s="1"/>
  <c r="F61" i="16"/>
  <c r="G61" i="16" s="1"/>
  <c r="F46" i="16"/>
  <c r="G46" i="16" s="1"/>
  <c r="F19" i="16"/>
  <c r="G19" i="16" s="1"/>
  <c r="F30" i="16"/>
  <c r="G30" i="16" s="1"/>
  <c r="F63" i="16"/>
  <c r="G63" i="16" s="1"/>
  <c r="F27" i="16"/>
  <c r="G27" i="16" s="1"/>
  <c r="F43" i="16"/>
  <c r="G43" i="16" s="1"/>
  <c r="F59" i="16"/>
  <c r="G59" i="16" s="1"/>
  <c r="F24" i="16"/>
  <c r="G24" i="16" s="1"/>
  <c r="F40" i="16"/>
  <c r="G40" i="16" s="1"/>
  <c r="F56" i="16"/>
  <c r="G56" i="16" s="1"/>
  <c r="F33" i="16"/>
  <c r="G33" i="16" s="1"/>
  <c r="F49" i="16"/>
  <c r="G49" i="16" s="1"/>
  <c r="F22" i="16"/>
  <c r="G22" i="16" s="1"/>
  <c r="K34" i="16" l="1"/>
  <c r="K35" i="16" s="1"/>
  <c r="K35" i="14"/>
  <c r="J30" i="14"/>
  <c r="E24" i="14" s="1"/>
  <c r="F24" i="14" s="1"/>
  <c r="G24" i="14" s="1"/>
  <c r="J29" i="14"/>
  <c r="E20" i="14"/>
  <c r="F20" i="14" s="1"/>
  <c r="G20" i="14" s="1"/>
  <c r="E19" i="14"/>
  <c r="F19" i="14" s="1"/>
  <c r="G19" i="14" s="1"/>
  <c r="E16" i="14"/>
  <c r="F16" i="14" s="1"/>
  <c r="G16" i="14" l="1"/>
  <c r="E17" i="14"/>
  <c r="F17" i="14" s="1"/>
  <c r="G17" i="14" s="1"/>
  <c r="E21" i="14"/>
  <c r="F21" i="14" s="1"/>
  <c r="G21" i="14" s="1"/>
  <c r="E25" i="14"/>
  <c r="F25" i="14" s="1"/>
  <c r="G25" i="14" s="1"/>
  <c r="E18" i="14"/>
  <c r="F18" i="14" s="1"/>
  <c r="G18" i="14" s="1"/>
  <c r="E22" i="14"/>
  <c r="F22" i="14" s="1"/>
  <c r="G22" i="14" s="1"/>
  <c r="E23" i="14"/>
  <c r="F23" i="14" s="1"/>
  <c r="G23" i="14" s="1"/>
  <c r="F26" i="14" l="1"/>
  <c r="G26" i="14"/>
  <c r="K34" i="14" s="1"/>
</calcChain>
</file>

<file path=xl/sharedStrings.xml><?xml version="1.0" encoding="utf-8"?>
<sst xmlns="http://schemas.openxmlformats.org/spreadsheetml/2006/main" count="193" uniqueCount="132">
  <si>
    <t>Estatura</t>
  </si>
  <si>
    <t>Peso</t>
  </si>
  <si>
    <t>X</t>
  </si>
  <si>
    <t>Y</t>
  </si>
  <si>
    <t>kg</t>
  </si>
  <si>
    <t>E)</t>
  </si>
  <si>
    <t>Varianza residual</t>
  </si>
  <si>
    <t xml:space="preserve">Varianza residual </t>
  </si>
  <si>
    <t>Predicción</t>
  </si>
  <si>
    <t>R</t>
  </si>
  <si>
    <t>N=</t>
  </si>
  <si>
    <t>En ese caso, preferimos el modelo más sencillo, es decir, el lineal</t>
  </si>
  <si>
    <t xml:space="preserve">a = </t>
  </si>
  <si>
    <t xml:space="preserve">b = </t>
  </si>
  <si>
    <t>Precio (en €)</t>
  </si>
  <si>
    <t>Ventas (número de botellas)</t>
  </si>
  <si>
    <t>Gastos en publicidad</t>
  </si>
  <si>
    <t>Beneficios anuales</t>
  </si>
  <si>
    <t>Año</t>
  </si>
  <si>
    <t>X (millones €)</t>
  </si>
  <si>
    <t>Y (millones €)</t>
  </si>
  <si>
    <t>a</t>
  </si>
  <si>
    <t>b</t>
  </si>
  <si>
    <t>Recta</t>
  </si>
  <si>
    <t>Y=-12,8743 + 3,4497X</t>
  </si>
  <si>
    <t>Gastos de producción</t>
  </si>
  <si>
    <t>Ingresos totales</t>
  </si>
  <si>
    <t>Y = 4,1984 + 1,6290*X</t>
  </si>
  <si>
    <t>Pred. no lineal</t>
  </si>
  <si>
    <t>Resid. No lineal</t>
  </si>
  <si>
    <t>Varianza (Y)</t>
  </si>
  <si>
    <t>Y = a+bX</t>
  </si>
  <si>
    <r>
      <t>Y=a*X</t>
    </r>
    <r>
      <rPr>
        <b/>
        <vertAlign val="superscript"/>
        <sz val="12"/>
        <rFont val="Times New Roman"/>
        <family val="1"/>
      </rPr>
      <t>b</t>
    </r>
  </si>
  <si>
    <t>Regresión lineal</t>
  </si>
  <si>
    <t>Regresión potencial</t>
  </si>
  <si>
    <t xml:space="preserve">Varianza residual  </t>
  </si>
  <si>
    <t>Total</t>
  </si>
  <si>
    <t>yi^lineal</t>
  </si>
  <si>
    <t>ei lineal</t>
  </si>
  <si>
    <t>ei^2 lineal</t>
  </si>
  <si>
    <t>ln(xi)</t>
  </si>
  <si>
    <t xml:space="preserve">Recta de regresión </t>
  </si>
  <si>
    <t>Bondad del ajuste lineal</t>
  </si>
  <si>
    <t>Ajuste logarítmico</t>
  </si>
  <si>
    <t>B</t>
  </si>
  <si>
    <t>A</t>
  </si>
  <si>
    <t>Función</t>
  </si>
  <si>
    <t>Y = -21,8382 + 17,7790*Ln(X)</t>
  </si>
  <si>
    <t>Bondad del ajuste logarítmico</t>
  </si>
  <si>
    <t>El modelo no es malo y el valor se encuentra cerca del rango de valores utilizados</t>
  </si>
  <si>
    <t>por lo que la predicción tiene cierta fiabilidad.</t>
  </si>
  <si>
    <t>lnY</t>
  </si>
  <si>
    <t>yi^no lineal</t>
  </si>
  <si>
    <t>ei no lineal</t>
  </si>
  <si>
    <t>ei^2 no lineal</t>
  </si>
  <si>
    <t>Es mejor ajuste el líneal porque la varianza residual es menor,</t>
  </si>
  <si>
    <t>Ajuste polinómico</t>
  </si>
  <si>
    <t>Según el gráfico:</t>
  </si>
  <si>
    <t>Y = -0,9901X^2 + 8,8443X - 7,5229</t>
  </si>
  <si>
    <t>Bondad del ajuste polinómico</t>
  </si>
  <si>
    <t>El ajuste es muy bueno, casi perfecto</t>
  </si>
  <si>
    <t xml:space="preserve"> X</t>
  </si>
  <si>
    <t xml:space="preserve">Es mejor el modelo potencial por lo que se estima un porcentaje de piezas defectuosas de 1,64 </t>
  </si>
  <si>
    <t>para un operario con 100 horas de manejo en la máquina</t>
  </si>
  <si>
    <t>La predicción es fiable porque el ajuste es bueno y se trata de una interpolación</t>
  </si>
  <si>
    <t>El % de piezas defectuosas disminuye en 0,04 por cada día adicional de experiencia en el manejo de la máquina</t>
  </si>
  <si>
    <t>Elasticidad del porcentaje de piezas defectuosas respecto de la experiencia en días</t>
  </si>
  <si>
    <t>% de piezas defectuosas para un operario sin experiencia</t>
  </si>
  <si>
    <t>% de piezas defectuosas para un operario con experiencia de 1 día</t>
  </si>
  <si>
    <t>Recta de regresión</t>
  </si>
  <si>
    <t>Y = -827,47 + 173,43*ln(X)</t>
  </si>
  <si>
    <t>Residuos</t>
  </si>
  <si>
    <t>Y^</t>
  </si>
  <si>
    <t>Var. Residual</t>
  </si>
  <si>
    <t>Familia</t>
  </si>
  <si>
    <t>1/X</t>
  </si>
  <si>
    <t>1/X^2</t>
  </si>
  <si>
    <t>Y^2</t>
  </si>
  <si>
    <t>Y/X</t>
  </si>
  <si>
    <t>Residuos^2</t>
  </si>
  <si>
    <t>Media</t>
  </si>
  <si>
    <t>Predicción (X=3000)</t>
  </si>
  <si>
    <t>Aunque el ajuste es bueno, la predicción no es fiable</t>
  </si>
  <si>
    <t>porque se trata de una extrapolación</t>
  </si>
  <si>
    <t>^y</t>
  </si>
  <si>
    <t>ln(x)</t>
  </si>
  <si>
    <t>residuos</t>
  </si>
  <si>
    <t>residuos 2</t>
  </si>
  <si>
    <t>cm</t>
  </si>
  <si>
    <t>Varianza Total</t>
  </si>
  <si>
    <t>Varianza explicada</t>
  </si>
  <si>
    <t>a'</t>
  </si>
  <si>
    <t>Suma Cuadrados</t>
  </si>
  <si>
    <t>N</t>
  </si>
  <si>
    <t>Precio</t>
  </si>
  <si>
    <t>Predicción Ventas</t>
  </si>
  <si>
    <t>El modelo no es malo y el valor se encuentra dentro del rango de valores utilizados</t>
  </si>
  <si>
    <t>El valor se encuentra fuera del rango de valores estudiados</t>
  </si>
  <si>
    <t>por lo que la predicción no es fiable</t>
  </si>
  <si>
    <t>Buen ajuste e interpolación: fiable</t>
  </si>
  <si>
    <t>Precio fuera del rango de estudio: No fiable</t>
  </si>
  <si>
    <t>X' = ln X</t>
  </si>
  <si>
    <t>Y' = ln Y</t>
  </si>
  <si>
    <t>bot2</t>
  </si>
  <si>
    <t>Es necesario crear una nueva columna, con los valores de Ln(X)</t>
  </si>
  <si>
    <t>a)</t>
  </si>
  <si>
    <t>b)</t>
  </si>
  <si>
    <t>c)</t>
  </si>
  <si>
    <t>d)</t>
  </si>
  <si>
    <t>Es una ajuste bastante bueno puesto que el valor de R &gt; 0,75</t>
  </si>
  <si>
    <r>
      <t>R</t>
    </r>
    <r>
      <rPr>
        <b/>
        <vertAlign val="superscript"/>
        <sz val="11"/>
        <color rgb="FF000000"/>
        <rFont val="Calibri"/>
        <family val="2"/>
      </rPr>
      <t>2</t>
    </r>
  </si>
  <si>
    <r>
      <t>R</t>
    </r>
    <r>
      <rPr>
        <b/>
        <vertAlign val="superscript"/>
        <sz val="11"/>
        <color rgb="FF000000"/>
        <rFont val="Calibri"/>
        <family val="2"/>
      </rPr>
      <t>2</t>
    </r>
    <r>
      <rPr>
        <b/>
        <sz val="11"/>
        <color rgb="FF000000"/>
        <rFont val="Calibri"/>
        <family val="2"/>
      </rPr>
      <t xml:space="preserve"> (modelo transformado)</t>
    </r>
  </si>
  <si>
    <t>MAX(X) =</t>
  </si>
  <si>
    <t>MIN(X) =</t>
  </si>
  <si>
    <r>
      <t>Los dos ajustes proporcionan un valor similar de R</t>
    </r>
    <r>
      <rPr>
        <vertAlign val="superscript"/>
        <sz val="11"/>
        <color rgb="FF000000"/>
        <rFont val="Calibri"/>
        <family val="2"/>
      </rPr>
      <t>2</t>
    </r>
    <r>
      <rPr>
        <sz val="11"/>
        <color rgb="FF000000"/>
        <rFont val="Calibri"/>
        <family val="2"/>
      </rPr>
      <t>.</t>
    </r>
  </si>
  <si>
    <t>e)</t>
  </si>
  <si>
    <r>
      <t>R</t>
    </r>
    <r>
      <rPr>
        <b/>
        <vertAlign val="superscript"/>
        <sz val="10"/>
        <rFont val="Arial"/>
        <family val="2"/>
      </rPr>
      <t>2</t>
    </r>
  </si>
  <si>
    <r>
      <t>R</t>
    </r>
    <r>
      <rPr>
        <b/>
        <vertAlign val="superscript"/>
        <sz val="10"/>
        <rFont val="Arial"/>
        <family val="2"/>
      </rPr>
      <t>2</t>
    </r>
    <r>
      <rPr>
        <b/>
        <sz val="10"/>
        <rFont val="Arial"/>
        <family val="2"/>
      </rPr>
      <t xml:space="preserve"> (mod. Transf)</t>
    </r>
  </si>
  <si>
    <r>
      <t>r</t>
    </r>
    <r>
      <rPr>
        <b/>
        <vertAlign val="superscript"/>
        <sz val="10"/>
        <rFont val="Arial"/>
        <family val="2"/>
      </rPr>
      <t>2</t>
    </r>
  </si>
  <si>
    <r>
      <t>y por tanto, el R</t>
    </r>
    <r>
      <rPr>
        <vertAlign val="superscript"/>
        <sz val="12"/>
        <rFont val="Times New Roman"/>
        <family val="1"/>
      </rPr>
      <t>2</t>
    </r>
    <r>
      <rPr>
        <sz val="12"/>
        <rFont val="Times New Roman"/>
        <family val="1"/>
      </rPr>
      <t xml:space="preserve"> es mayor.</t>
    </r>
  </si>
  <si>
    <r>
      <t>r</t>
    </r>
    <r>
      <rPr>
        <b/>
        <vertAlign val="superscript"/>
        <sz val="10"/>
        <rFont val="Arial"/>
        <family val="2"/>
      </rPr>
      <t>2</t>
    </r>
    <r>
      <rPr>
        <b/>
        <sz val="10"/>
        <rFont val="Arial"/>
        <family val="2"/>
      </rPr>
      <t xml:space="preserve"> modelo transformado</t>
    </r>
  </si>
  <si>
    <r>
      <t>r</t>
    </r>
    <r>
      <rPr>
        <b/>
        <vertAlign val="superscript"/>
        <sz val="10"/>
        <rFont val="Arial"/>
        <family val="2"/>
      </rPr>
      <t>2</t>
    </r>
    <r>
      <rPr>
        <b/>
        <sz val="10"/>
        <rFont val="Arial"/>
        <family val="2"/>
      </rPr>
      <t xml:space="preserve"> = </t>
    </r>
  </si>
  <si>
    <t>Experiencia, en días, de un operario en el manejo de una máquina</t>
  </si>
  <si>
    <t>Porcentaje de piezas defectuosas al manipular la máquina dicho operario</t>
  </si>
  <si>
    <r>
      <t>r</t>
    </r>
    <r>
      <rPr>
        <b/>
        <vertAlign val="superscript"/>
        <sz val="12"/>
        <rFont val="Times New Roman"/>
        <family val="1"/>
      </rPr>
      <t>2</t>
    </r>
  </si>
  <si>
    <r>
      <t>R</t>
    </r>
    <r>
      <rPr>
        <b/>
        <vertAlign val="superscript"/>
        <sz val="12"/>
        <rFont val="Times New Roman"/>
        <family val="1"/>
      </rPr>
      <t>2</t>
    </r>
  </si>
  <si>
    <r>
      <t>r</t>
    </r>
    <r>
      <rPr>
        <b/>
        <vertAlign val="superscript"/>
        <sz val="11"/>
        <color theme="1"/>
        <rFont val="Calibri"/>
        <family val="2"/>
        <scheme val="minor"/>
      </rPr>
      <t>2</t>
    </r>
    <r>
      <rPr>
        <b/>
        <sz val="11"/>
        <color theme="1"/>
        <rFont val="Calibri"/>
        <family val="2"/>
        <scheme val="minor"/>
      </rPr>
      <t xml:space="preserve"> (mod. transformado)</t>
    </r>
  </si>
  <si>
    <t>Hay relación</t>
  </si>
  <si>
    <t>NO parece lineal</t>
  </si>
  <si>
    <t>Es directa</t>
  </si>
  <si>
    <t>Parece relación fuerte</t>
  </si>
  <si>
    <r>
      <t>R</t>
    </r>
    <r>
      <rPr>
        <b/>
        <vertAlign val="superscript"/>
        <sz val="11"/>
        <color theme="1"/>
        <rFont val="Calibri"/>
        <family val="2"/>
        <scheme val="minor"/>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</si>
</sst>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164" formatCode="0.000000"/>
    <numFmt numFmtId="165" formatCode="0.0000"/>
    <numFmt numFmtId="166" formatCode="0.000"/>
    <numFmt numFmtId="167" formatCode="#,##0.0"/>
  </numFmts>
  <fonts count="25" x14ac:knownFonts="1">
    <font>
      <sz val="11"/>
      <color rgb="FF000000"/>
      <name val="Calibri"/>
    </font>
    <font>
      <sz val="11"/>
      <color theme="1"/>
      <name val="Calibri"/>
      <family val="2"/>
      <scheme val="minor"/>
    </font>
    <font>
      <sz val="11"/>
      <color theme="1"/>
      <name val="Calibri"/>
      <family val="2"/>
      <scheme val="minor"/>
    </font>
    <font>
      <sz val="10"/>
      <color rgb="FF000000"/>
      <name val="Arial"/>
      <family val="2"/>
    </font>
    <font>
      <b/>
      <sz val="10"/>
      <color rgb="FF000000"/>
      <name val="Arial"/>
      <family val="2"/>
    </font>
    <font>
      <sz val="11"/>
      <color rgb="FF000000"/>
      <name val="Calibri"/>
      <family val="2"/>
    </font>
    <font>
      <b/>
      <sz val="11"/>
      <color rgb="FF000000"/>
      <name val="Calibri"/>
      <family val="2"/>
    </font>
    <font>
      <sz val="11"/>
      <color rgb="FF000000"/>
      <name val="Calibri"/>
      <family val="2"/>
    </font>
    <font>
      <sz val="10"/>
      <name val="Arial"/>
      <family val="2"/>
    </font>
    <font>
      <b/>
      <sz val="12"/>
      <name val="Times New Roman"/>
      <family val="1"/>
    </font>
    <font>
      <sz val="12"/>
      <name val="Times New Roman"/>
      <family val="1"/>
    </font>
    <font>
      <b/>
      <sz val="10"/>
      <name val="Arial"/>
      <family val="2"/>
    </font>
    <font>
      <b/>
      <vertAlign val="superscript"/>
      <sz val="12"/>
      <name val="Times New Roman"/>
      <family val="1"/>
    </font>
    <font>
      <b/>
      <sz val="12"/>
      <color rgb="FF000000"/>
      <name val="Times New Roman"/>
      <family val="1"/>
    </font>
    <font>
      <sz val="12"/>
      <color rgb="FF000000"/>
      <name val="Times New Roman"/>
      <family val="1"/>
    </font>
    <font>
      <sz val="11"/>
      <color rgb="FFFF0000"/>
      <name val="Calibri"/>
      <family val="2"/>
    </font>
    <font>
      <b/>
      <sz val="11"/>
      <color theme="1"/>
      <name val="Calibri"/>
      <family val="2"/>
      <scheme val="minor"/>
    </font>
    <font>
      <sz val="10"/>
      <color rgb="FFFF0000"/>
      <name val="Arial"/>
      <family val="2"/>
    </font>
    <font>
      <b/>
      <vertAlign val="superscript"/>
      <sz val="11"/>
      <color rgb="FF000000"/>
      <name val="Calibri"/>
      <family val="2"/>
    </font>
    <font>
      <sz val="11"/>
      <name val="Microsoft Tai Le"/>
      <family val="2"/>
    </font>
    <font>
      <sz val="11"/>
      <color theme="5" tint="-0.249977111117893"/>
      <name val="Microsoft Tai Le"/>
      <family val="2"/>
    </font>
    <font>
      <vertAlign val="superscript"/>
      <sz val="11"/>
      <color rgb="FF000000"/>
      <name val="Calibri"/>
      <family val="2"/>
    </font>
    <font>
      <b/>
      <vertAlign val="superscript"/>
      <sz val="10"/>
      <name val="Arial"/>
      <family val="2"/>
    </font>
    <font>
      <vertAlign val="superscript"/>
      <sz val="12"/>
      <name val="Times New Roman"/>
      <family val="1"/>
    </font>
    <font>
      <b/>
      <vertAlign val="superscript"/>
      <sz val="11"/>
      <color theme="1"/>
      <name val="Calibri"/>
      <family val="2"/>
      <scheme val="minor"/>
    </font>
  </fonts>
  <fills count="19">
    <fill>
      <patternFill patternType="none"/>
    </fill>
    <fill>
      <patternFill patternType="gray125"/>
    </fill>
    <fill>
      <patternFill patternType="solid">
        <fgColor theme="5"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5" tint="0.39997558519241921"/>
        <bgColor indexed="64"/>
      </patternFill>
    </fill>
    <fill>
      <patternFill patternType="solid">
        <fgColor theme="0"/>
        <bgColor indexed="64"/>
      </patternFill>
    </fill>
    <fill>
      <patternFill patternType="solid">
        <fgColor rgb="FFFFFF00"/>
        <bgColor indexed="64"/>
      </patternFill>
    </fill>
    <fill>
      <patternFill patternType="solid">
        <fgColor indexed="13"/>
        <bgColor indexed="64"/>
      </patternFill>
    </fill>
    <fill>
      <patternFill patternType="solid">
        <fgColor indexed="51"/>
        <bgColor indexed="64"/>
      </patternFill>
    </fill>
    <fill>
      <patternFill patternType="solid">
        <fgColor theme="0" tint="-0.14999847407452621"/>
        <bgColor indexed="64"/>
      </patternFill>
    </fill>
    <fill>
      <patternFill patternType="solid">
        <fgColor indexed="43"/>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D8E4BC"/>
        <bgColor indexed="64"/>
      </patternFill>
    </fill>
    <fill>
      <patternFill patternType="solid">
        <fgColor rgb="FFFFC00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9"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1">
    <xf numFmtId="0" fontId="0" fillId="0" borderId="0"/>
    <xf numFmtId="9" fontId="5" fillId="0" borderId="0" applyFont="0" applyFill="0" applyBorder="0" applyAlignment="0" applyProtection="0"/>
    <xf numFmtId="0" fontId="5" fillId="0" borderId="0"/>
    <xf numFmtId="0" fontId="8" fillId="0" borderId="0"/>
    <xf numFmtId="0" fontId="8" fillId="0" borderId="0"/>
    <xf numFmtId="9" fontId="5" fillId="0" borderId="0" applyFont="0" applyFill="0" applyBorder="0" applyAlignment="0" applyProtection="0"/>
    <xf numFmtId="44" fontId="8" fillId="0" borderId="0" applyFont="0" applyFill="0" applyBorder="0" applyAlignment="0" applyProtection="0"/>
    <xf numFmtId="9" fontId="5" fillId="0" borderId="0" applyFont="0" applyFill="0" applyBorder="0" applyAlignment="0" applyProtection="0"/>
    <xf numFmtId="0" fontId="8" fillId="0" borderId="0" applyNumberFormat="0" applyFill="0" applyBorder="0" applyAlignment="0" applyProtection="0"/>
    <xf numFmtId="167" fontId="8" fillId="0" borderId="0" applyFill="0" applyBorder="0" applyAlignment="0" applyProtection="0"/>
    <xf numFmtId="0" fontId="2" fillId="0" borderId="0"/>
  </cellStyleXfs>
  <cellXfs count="200">
    <xf numFmtId="0" fontId="0" fillId="0" borderId="0" xfId="0"/>
    <xf numFmtId="0" fontId="3" fillId="0" borderId="1" xfId="0" applyFont="1" applyBorder="1" applyAlignment="1">
      <alignment horizontal="center" vertical="top"/>
    </xf>
    <xf numFmtId="0" fontId="3" fillId="6" borderId="1" xfId="0" applyFont="1" applyFill="1" applyBorder="1" applyAlignment="1">
      <alignment horizontal="center" vertical="top"/>
    </xf>
    <xf numFmtId="0" fontId="7" fillId="0" borderId="0" xfId="0" applyFont="1"/>
    <xf numFmtId="0" fontId="0" fillId="4" borderId="0" xfId="0" applyFill="1"/>
    <xf numFmtId="0" fontId="6" fillId="4" borderId="0" xfId="0" applyFont="1" applyFill="1"/>
    <xf numFmtId="49" fontId="4" fillId="3" borderId="1" xfId="0" applyNumberFormat="1" applyFont="1" applyFill="1" applyBorder="1" applyAlignment="1">
      <alignment horizontal="center"/>
    </xf>
    <xf numFmtId="0" fontId="6" fillId="0" borderId="0" xfId="0" applyFont="1" applyAlignment="1">
      <alignment horizontal="center"/>
    </xf>
    <xf numFmtId="0" fontId="5" fillId="4" borderId="0" xfId="0" applyFont="1" applyFill="1"/>
    <xf numFmtId="2" fontId="5" fillId="4" borderId="0" xfId="0" applyNumberFormat="1" applyFont="1" applyFill="1"/>
    <xf numFmtId="165" fontId="5" fillId="4" borderId="0" xfId="0" applyNumberFormat="1" applyFont="1" applyFill="1"/>
    <xf numFmtId="10" fontId="5" fillId="4" borderId="0" xfId="1" applyNumberFormat="1" applyFill="1"/>
    <xf numFmtId="164" fontId="5" fillId="4" borderId="0" xfId="0" applyNumberFormat="1" applyFont="1" applyFill="1"/>
    <xf numFmtId="0" fontId="0" fillId="4" borderId="0" xfId="0" applyFill="1" applyAlignment="1">
      <alignment horizontal="right"/>
    </xf>
    <xf numFmtId="0" fontId="8" fillId="0" borderId="0" xfId="3"/>
    <xf numFmtId="0" fontId="11" fillId="0" borderId="0" xfId="3" applyFont="1" applyAlignment="1">
      <alignment horizontal="center"/>
    </xf>
    <xf numFmtId="0" fontId="10" fillId="0" borderId="0" xfId="3" applyFont="1" applyAlignment="1">
      <alignment horizontal="center"/>
    </xf>
    <xf numFmtId="0" fontId="10" fillId="7" borderId="1" xfId="3" applyFont="1" applyFill="1" applyBorder="1" applyAlignment="1">
      <alignment horizontal="center"/>
    </xf>
    <xf numFmtId="0" fontId="9" fillId="0" borderId="0" xfId="4" applyFont="1" applyAlignment="1">
      <alignment horizontal="center"/>
    </xf>
    <xf numFmtId="0" fontId="9" fillId="0" borderId="0" xfId="4" applyFont="1"/>
    <xf numFmtId="0" fontId="11" fillId="0" borderId="0" xfId="4" applyFont="1"/>
    <xf numFmtId="0" fontId="8" fillId="0" borderId="0" xfId="4"/>
    <xf numFmtId="0" fontId="10" fillId="0" borderId="0" xfId="4" applyFont="1"/>
    <xf numFmtId="0" fontId="11" fillId="8" borderId="2" xfId="4" applyFont="1" applyFill="1" applyBorder="1" applyAlignment="1">
      <alignment horizontal="center" vertical="center"/>
    </xf>
    <xf numFmtId="0" fontId="11" fillId="8" borderId="3" xfId="4" applyFont="1" applyFill="1" applyBorder="1" applyAlignment="1">
      <alignment horizontal="center" vertical="center" wrapText="1"/>
    </xf>
    <xf numFmtId="0" fontId="11" fillId="0" borderId="3" xfId="4" applyFont="1" applyBorder="1" applyAlignment="1">
      <alignment horizontal="center" vertical="center"/>
    </xf>
    <xf numFmtId="0" fontId="8" fillId="8" borderId="4" xfId="4" applyFill="1" applyBorder="1" applyAlignment="1">
      <alignment horizontal="center"/>
    </xf>
    <xf numFmtId="0" fontId="8" fillId="8" borderId="5" xfId="4" applyFill="1" applyBorder="1" applyAlignment="1">
      <alignment horizontal="center" vertical="top" wrapText="1"/>
    </xf>
    <xf numFmtId="0" fontId="8" fillId="8" borderId="12" xfId="4" applyFill="1" applyBorder="1" applyAlignment="1">
      <alignment horizontal="center" vertical="top" wrapText="1"/>
    </xf>
    <xf numFmtId="0" fontId="9" fillId="7" borderId="1" xfId="4" applyFont="1" applyFill="1" applyBorder="1" applyAlignment="1">
      <alignment horizontal="center" vertical="top" wrapText="1"/>
    </xf>
    <xf numFmtId="0" fontId="10" fillId="7" borderId="1" xfId="4" applyFont="1" applyFill="1" applyBorder="1" applyAlignment="1">
      <alignment horizontal="center" vertical="top" wrapText="1"/>
    </xf>
    <xf numFmtId="0" fontId="9" fillId="8" borderId="1" xfId="8" applyFont="1" applyFill="1" applyBorder="1" applyAlignment="1">
      <alignment horizontal="center"/>
    </xf>
    <xf numFmtId="0" fontId="9" fillId="9" borderId="1" xfId="8" applyFont="1" applyFill="1" applyBorder="1" applyAlignment="1">
      <alignment horizontal="center"/>
    </xf>
    <xf numFmtId="0" fontId="8" fillId="0" borderId="0" xfId="8"/>
    <xf numFmtId="2" fontId="10" fillId="10" borderId="1" xfId="8" applyNumberFormat="1" applyFont="1" applyFill="1" applyBorder="1" applyAlignment="1">
      <alignment horizontal="center"/>
    </xf>
    <xf numFmtId="2" fontId="10" fillId="11" borderId="1" xfId="8" applyNumberFormat="1" applyFont="1" applyFill="1" applyBorder="1" applyAlignment="1">
      <alignment horizontal="center"/>
    </xf>
    <xf numFmtId="0" fontId="9" fillId="9" borderId="2" xfId="8" applyFont="1" applyFill="1" applyBorder="1" applyAlignment="1">
      <alignment horizontal="center"/>
    </xf>
    <xf numFmtId="2" fontId="10" fillId="11" borderId="14" xfId="8" applyNumberFormat="1" applyFont="1" applyFill="1" applyBorder="1" applyAlignment="1">
      <alignment horizontal="center"/>
    </xf>
    <xf numFmtId="10" fontId="8" fillId="0" borderId="0" xfId="8" applyNumberFormat="1"/>
    <xf numFmtId="0" fontId="9" fillId="0" borderId="0" xfId="8" applyFont="1" applyAlignment="1">
      <alignment horizontal="center"/>
    </xf>
    <xf numFmtId="0" fontId="9" fillId="9" borderId="13" xfId="8" applyFont="1" applyFill="1" applyBorder="1" applyAlignment="1">
      <alignment horizontal="center"/>
    </xf>
    <xf numFmtId="0" fontId="10" fillId="0" borderId="0" xfId="8" applyFont="1"/>
    <xf numFmtId="0" fontId="9" fillId="9" borderId="15" xfId="8" applyFont="1" applyFill="1" applyBorder="1" applyAlignment="1">
      <alignment horizontal="center"/>
    </xf>
    <xf numFmtId="166" fontId="10" fillId="11" borderId="14" xfId="8" applyNumberFormat="1" applyFont="1" applyFill="1" applyBorder="1" applyAlignment="1">
      <alignment horizontal="center"/>
    </xf>
    <xf numFmtId="0" fontId="9" fillId="9" borderId="16" xfId="8" applyFont="1" applyFill="1" applyBorder="1" applyAlignment="1">
      <alignment horizontal="center"/>
    </xf>
    <xf numFmtId="2" fontId="10" fillId="11" borderId="16" xfId="8" applyNumberFormat="1" applyFont="1" applyFill="1" applyBorder="1" applyAlignment="1">
      <alignment horizontal="center"/>
    </xf>
    <xf numFmtId="165" fontId="10" fillId="11" borderId="16" xfId="8" applyNumberFormat="1" applyFont="1" applyFill="1" applyBorder="1" applyAlignment="1">
      <alignment horizontal="center"/>
    </xf>
    <xf numFmtId="10" fontId="10" fillId="11" borderId="16" xfId="8" applyNumberFormat="1" applyFont="1" applyFill="1" applyBorder="1" applyAlignment="1">
      <alignment horizontal="center"/>
    </xf>
    <xf numFmtId="0" fontId="9" fillId="9" borderId="17" xfId="8" applyFont="1" applyFill="1" applyBorder="1" applyAlignment="1">
      <alignment horizontal="center"/>
    </xf>
    <xf numFmtId="2" fontId="10" fillId="11" borderId="17" xfId="8" applyNumberFormat="1" applyFont="1" applyFill="1" applyBorder="1" applyAlignment="1">
      <alignment horizontal="center"/>
    </xf>
    <xf numFmtId="2" fontId="10" fillId="0" borderId="0" xfId="8" applyNumberFormat="1" applyFont="1" applyAlignment="1">
      <alignment horizontal="center"/>
    </xf>
    <xf numFmtId="1" fontId="10" fillId="7" borderId="1" xfId="8" applyNumberFormat="1" applyFont="1" applyFill="1" applyBorder="1" applyAlignment="1">
      <alignment horizontal="right"/>
    </xf>
    <xf numFmtId="2" fontId="10" fillId="7" borderId="1" xfId="8" applyNumberFormat="1" applyFont="1" applyFill="1" applyBorder="1" applyAlignment="1">
      <alignment horizontal="right"/>
    </xf>
    <xf numFmtId="0" fontId="5" fillId="0" borderId="0" xfId="0" applyFont="1"/>
    <xf numFmtId="0" fontId="9" fillId="9" borderId="14" xfId="8" applyFont="1" applyFill="1" applyBorder="1" applyAlignment="1">
      <alignment horizontal="center"/>
    </xf>
    <xf numFmtId="0" fontId="11" fillId="0" borderId="0" xfId="8" applyFont="1" applyAlignment="1">
      <alignment horizontal="center"/>
    </xf>
    <xf numFmtId="0" fontId="13" fillId="0" borderId="0" xfId="0" applyFont="1" applyAlignment="1">
      <alignment horizontal="center"/>
    </xf>
    <xf numFmtId="0" fontId="14" fillId="0" borderId="0" xfId="0" applyFont="1"/>
    <xf numFmtId="0" fontId="6" fillId="0" borderId="0" xfId="0" applyFont="1"/>
    <xf numFmtId="0" fontId="15" fillId="0" borderId="0" xfId="0" applyFont="1"/>
    <xf numFmtId="0" fontId="16" fillId="7" borderId="1" xfId="10" applyFont="1" applyFill="1" applyBorder="1" applyAlignment="1">
      <alignment horizontal="center"/>
    </xf>
    <xf numFmtId="0" fontId="16" fillId="0" borderId="1" xfId="10" applyFont="1" applyBorder="1" applyAlignment="1">
      <alignment horizontal="center"/>
    </xf>
    <xf numFmtId="0" fontId="2" fillId="0" borderId="0" xfId="10"/>
    <xf numFmtId="1" fontId="2" fillId="7" borderId="1" xfId="10" applyNumberFormat="1" applyFill="1" applyBorder="1" applyAlignment="1">
      <alignment horizontal="center"/>
    </xf>
    <xf numFmtId="0" fontId="2" fillId="7" borderId="1" xfId="10" applyFill="1" applyBorder="1" applyAlignment="1">
      <alignment horizontal="center"/>
    </xf>
    <xf numFmtId="165" fontId="2" fillId="0" borderId="1" xfId="10" applyNumberFormat="1" applyBorder="1" applyAlignment="1">
      <alignment horizontal="center"/>
    </xf>
    <xf numFmtId="1" fontId="2" fillId="7" borderId="18" xfId="10" applyNumberFormat="1" applyFill="1" applyBorder="1" applyAlignment="1">
      <alignment horizontal="center"/>
    </xf>
    <xf numFmtId="0" fontId="2" fillId="7" borderId="18" xfId="10" applyFill="1" applyBorder="1" applyAlignment="1">
      <alignment horizontal="center"/>
    </xf>
    <xf numFmtId="165" fontId="2" fillId="0" borderId="18" xfId="10" applyNumberFormat="1" applyBorder="1" applyAlignment="1">
      <alignment horizontal="center"/>
    </xf>
    <xf numFmtId="0" fontId="2" fillId="0" borderId="18" xfId="10" applyBorder="1" applyAlignment="1">
      <alignment horizontal="center"/>
    </xf>
    <xf numFmtId="1" fontId="2" fillId="2" borderId="1" xfId="10" applyNumberFormat="1" applyFill="1" applyBorder="1" applyAlignment="1">
      <alignment horizontal="center"/>
    </xf>
    <xf numFmtId="165" fontId="2" fillId="2" borderId="19" xfId="10" applyNumberFormat="1" applyFill="1" applyBorder="1" applyAlignment="1">
      <alignment horizontal="center"/>
    </xf>
    <xf numFmtId="11" fontId="2" fillId="4" borderId="1" xfId="10" applyNumberFormat="1" applyFill="1" applyBorder="1" applyAlignment="1">
      <alignment horizontal="center"/>
    </xf>
    <xf numFmtId="1" fontId="2" fillId="0" borderId="1" xfId="10" applyNumberFormat="1" applyBorder="1" applyAlignment="1">
      <alignment horizontal="center"/>
    </xf>
    <xf numFmtId="165" fontId="2" fillId="12" borderId="1" xfId="10" applyNumberFormat="1" applyFill="1" applyBorder="1" applyAlignment="1">
      <alignment horizontal="center"/>
    </xf>
    <xf numFmtId="2" fontId="2" fillId="0" borderId="0" xfId="10" applyNumberFormat="1"/>
    <xf numFmtId="1" fontId="2" fillId="0" borderId="20" xfId="10" applyNumberFormat="1" applyBorder="1" applyAlignment="1">
      <alignment horizontal="center"/>
    </xf>
    <xf numFmtId="1" fontId="16" fillId="2" borderId="1" xfId="10" applyNumberFormat="1" applyFont="1" applyFill="1" applyBorder="1" applyAlignment="1">
      <alignment horizontal="center"/>
    </xf>
    <xf numFmtId="166" fontId="16" fillId="2" borderId="19" xfId="10" applyNumberFormat="1" applyFont="1" applyFill="1" applyBorder="1" applyAlignment="1">
      <alignment horizontal="center"/>
    </xf>
    <xf numFmtId="0" fontId="2" fillId="0" borderId="0" xfId="10" applyAlignment="1">
      <alignment horizontal="center"/>
    </xf>
    <xf numFmtId="0" fontId="16" fillId="0" borderId="0" xfId="10" applyFont="1" applyAlignment="1">
      <alignment horizontal="center"/>
    </xf>
    <xf numFmtId="0" fontId="16" fillId="0" borderId="0" xfId="10" applyFont="1" applyAlignment="1">
      <alignment horizontal="right"/>
    </xf>
    <xf numFmtId="0" fontId="6" fillId="4" borderId="21" xfId="0" applyFont="1" applyFill="1" applyBorder="1" applyAlignment="1">
      <alignment horizontal="right"/>
    </xf>
    <xf numFmtId="2" fontId="5" fillId="4" borderId="22" xfId="0" applyNumberFormat="1" applyFont="1" applyFill="1" applyBorder="1"/>
    <xf numFmtId="0" fontId="5" fillId="4" borderId="21" xfId="0" applyFont="1" applyFill="1" applyBorder="1"/>
    <xf numFmtId="0" fontId="6" fillId="4" borderId="22" xfId="0" applyFont="1" applyFill="1" applyBorder="1"/>
    <xf numFmtId="165" fontId="6" fillId="4" borderId="0" xfId="0" applyNumberFormat="1" applyFont="1" applyFill="1"/>
    <xf numFmtId="10" fontId="6" fillId="4" borderId="0" xfId="1" applyNumberFormat="1" applyFont="1" applyFill="1"/>
    <xf numFmtId="2" fontId="6" fillId="4" borderId="0" xfId="0" applyNumberFormat="1" applyFont="1" applyFill="1"/>
    <xf numFmtId="164" fontId="0" fillId="0" borderId="1" xfId="0" applyNumberFormat="1" applyBorder="1" applyAlignment="1">
      <alignment horizontal="center"/>
    </xf>
    <xf numFmtId="0" fontId="8" fillId="0" borderId="0" xfId="3" applyAlignment="1">
      <alignment horizontal="center"/>
    </xf>
    <xf numFmtId="165" fontId="8" fillId="0" borderId="1" xfId="3" applyNumberFormat="1" applyBorder="1" applyAlignment="1">
      <alignment horizontal="center"/>
    </xf>
    <xf numFmtId="2" fontId="8" fillId="0" borderId="1" xfId="3" applyNumberFormat="1" applyBorder="1" applyAlignment="1">
      <alignment horizontal="center"/>
    </xf>
    <xf numFmtId="165" fontId="10" fillId="0" borderId="6" xfId="4" applyNumberFormat="1" applyFont="1" applyBorder="1" applyAlignment="1">
      <alignment horizontal="center"/>
    </xf>
    <xf numFmtId="165" fontId="10" fillId="0" borderId="4" xfId="4" applyNumberFormat="1" applyFont="1" applyBorder="1" applyAlignment="1">
      <alignment horizontal="center"/>
    </xf>
    <xf numFmtId="165" fontId="10" fillId="0" borderId="13" xfId="4" applyNumberFormat="1" applyFont="1" applyBorder="1" applyAlignment="1">
      <alignment horizontal="center"/>
    </xf>
    <xf numFmtId="0" fontId="10" fillId="13" borderId="1" xfId="4" applyFont="1" applyFill="1" applyBorder="1"/>
    <xf numFmtId="165" fontId="11" fillId="13" borderId="1" xfId="4" applyNumberFormat="1" applyFont="1" applyFill="1" applyBorder="1"/>
    <xf numFmtId="0" fontId="10" fillId="13" borderId="9" xfId="4" applyFont="1" applyFill="1" applyBorder="1"/>
    <xf numFmtId="0" fontId="8" fillId="13" borderId="18" xfId="4" applyFill="1" applyBorder="1"/>
    <xf numFmtId="165" fontId="11" fillId="13" borderId="18" xfId="4" applyNumberFormat="1" applyFont="1" applyFill="1" applyBorder="1"/>
    <xf numFmtId="0" fontId="10" fillId="13" borderId="5" xfId="4" applyFont="1" applyFill="1" applyBorder="1"/>
    <xf numFmtId="0" fontId="8" fillId="13" borderId="1" xfId="4" applyFill="1" applyBorder="1"/>
    <xf numFmtId="0" fontId="11" fillId="13" borderId="1" xfId="4" applyFont="1" applyFill="1" applyBorder="1"/>
    <xf numFmtId="0" fontId="11" fillId="13" borderId="1" xfId="4" applyFont="1" applyFill="1" applyBorder="1" applyAlignment="1">
      <alignment horizontal="right"/>
    </xf>
    <xf numFmtId="0" fontId="8" fillId="13" borderId="10" xfId="4" applyFill="1" applyBorder="1"/>
    <xf numFmtId="0" fontId="11" fillId="13" borderId="11" xfId="4" applyFont="1" applyFill="1" applyBorder="1" applyAlignment="1">
      <alignment horizontal="right"/>
    </xf>
    <xf numFmtId="10" fontId="11" fillId="13" borderId="12" xfId="5" applyNumberFormat="1" applyFont="1" applyFill="1" applyBorder="1"/>
    <xf numFmtId="0" fontId="10" fillId="13" borderId="7" xfId="4" applyFont="1" applyFill="1" applyBorder="1"/>
    <xf numFmtId="0" fontId="10" fillId="13" borderId="12" xfId="4" applyFont="1" applyFill="1" applyBorder="1"/>
    <xf numFmtId="0" fontId="11" fillId="13" borderId="8" xfId="4" applyFont="1" applyFill="1" applyBorder="1" applyAlignment="1">
      <alignment horizontal="right"/>
    </xf>
    <xf numFmtId="165" fontId="11" fillId="13" borderId="9" xfId="4" applyNumberFormat="1" applyFont="1" applyFill="1" applyBorder="1"/>
    <xf numFmtId="10" fontId="11" fillId="13" borderId="1" xfId="5" applyNumberFormat="1" applyFont="1" applyFill="1" applyBorder="1"/>
    <xf numFmtId="0" fontId="10" fillId="13" borderId="8" xfId="4" applyFont="1" applyFill="1" applyBorder="1"/>
    <xf numFmtId="0" fontId="10" fillId="13" borderId="10" xfId="4" applyFont="1" applyFill="1" applyBorder="1"/>
    <xf numFmtId="0" fontId="10" fillId="13" borderId="11" xfId="4" applyFont="1" applyFill="1" applyBorder="1"/>
    <xf numFmtId="0" fontId="11" fillId="13" borderId="1" xfId="4" applyFont="1" applyFill="1" applyBorder="1" applyAlignment="1">
      <alignment horizontal="center"/>
    </xf>
    <xf numFmtId="165" fontId="8" fillId="13" borderId="1" xfId="4" applyNumberFormat="1" applyFill="1" applyBorder="1" applyAlignment="1">
      <alignment horizontal="center"/>
    </xf>
    <xf numFmtId="0" fontId="11" fillId="13" borderId="18" xfId="4" applyFont="1" applyFill="1" applyBorder="1" applyAlignment="1">
      <alignment horizontal="center"/>
    </xf>
    <xf numFmtId="165" fontId="8" fillId="13" borderId="18" xfId="4" applyNumberFormat="1" applyFill="1" applyBorder="1" applyAlignment="1">
      <alignment horizontal="center"/>
    </xf>
    <xf numFmtId="0" fontId="8" fillId="6" borderId="0" xfId="4" applyFill="1"/>
    <xf numFmtId="0" fontId="11" fillId="14" borderId="1" xfId="4" applyFont="1" applyFill="1" applyBorder="1" applyAlignment="1">
      <alignment horizontal="center"/>
    </xf>
    <xf numFmtId="10" fontId="8" fillId="14" borderId="1" xfId="5" applyNumberFormat="1" applyFont="1" applyFill="1" applyBorder="1"/>
    <xf numFmtId="0" fontId="8" fillId="5" borderId="0" xfId="4" applyFill="1"/>
    <xf numFmtId="0" fontId="11" fillId="5" borderId="23" xfId="4" applyFont="1" applyFill="1" applyBorder="1"/>
    <xf numFmtId="0" fontId="8" fillId="5" borderId="24" xfId="4" applyFill="1" applyBorder="1"/>
    <xf numFmtId="0" fontId="8" fillId="5" borderId="25" xfId="4" applyFill="1" applyBorder="1"/>
    <xf numFmtId="0" fontId="8" fillId="5" borderId="26" xfId="4" applyFill="1" applyBorder="1"/>
    <xf numFmtId="0" fontId="8" fillId="5" borderId="27" xfId="4" applyFill="1" applyBorder="1"/>
    <xf numFmtId="0" fontId="8" fillId="5" borderId="28" xfId="4" applyFill="1" applyBorder="1"/>
    <xf numFmtId="0" fontId="8" fillId="5" borderId="29" xfId="4" applyFill="1" applyBorder="1"/>
    <xf numFmtId="0" fontId="8" fillId="5" borderId="30" xfId="4" applyFill="1" applyBorder="1"/>
    <xf numFmtId="0" fontId="11" fillId="5" borderId="28" xfId="4" applyFont="1" applyFill="1" applyBorder="1"/>
    <xf numFmtId="0" fontId="11" fillId="5" borderId="29" xfId="4" applyFont="1" applyFill="1" applyBorder="1"/>
    <xf numFmtId="0" fontId="11" fillId="5" borderId="30" xfId="4" applyFont="1" applyFill="1" applyBorder="1"/>
    <xf numFmtId="0" fontId="11" fillId="5" borderId="26" xfId="4" applyFont="1" applyFill="1" applyBorder="1"/>
    <xf numFmtId="10" fontId="11" fillId="5" borderId="27" xfId="1" applyNumberFormat="1" applyFont="1" applyFill="1" applyBorder="1"/>
    <xf numFmtId="0" fontId="8" fillId="15" borderId="0" xfId="8" applyFill="1"/>
    <xf numFmtId="0" fontId="8" fillId="15" borderId="23" xfId="8" applyFill="1" applyBorder="1"/>
    <xf numFmtId="0" fontId="8" fillId="15" borderId="24" xfId="8" applyFill="1" applyBorder="1"/>
    <xf numFmtId="0" fontId="8" fillId="15" borderId="25" xfId="8" applyFill="1" applyBorder="1"/>
    <xf numFmtId="0" fontId="8" fillId="15" borderId="26" xfId="8" applyFill="1" applyBorder="1"/>
    <xf numFmtId="0" fontId="8" fillId="15" borderId="27" xfId="8" applyFill="1" applyBorder="1"/>
    <xf numFmtId="0" fontId="8" fillId="15" borderId="28" xfId="8" applyFill="1" applyBorder="1"/>
    <xf numFmtId="0" fontId="8" fillId="15" borderId="29" xfId="8" applyFill="1" applyBorder="1"/>
    <xf numFmtId="0" fontId="8" fillId="15" borderId="30" xfId="8" applyFill="1" applyBorder="1"/>
    <xf numFmtId="11" fontId="2" fillId="0" borderId="1" xfId="10" applyNumberFormat="1" applyBorder="1" applyAlignment="1">
      <alignment horizontal="center"/>
    </xf>
    <xf numFmtId="2" fontId="2" fillId="0" borderId="1" xfId="10" applyNumberFormat="1" applyBorder="1" applyAlignment="1">
      <alignment horizontal="center"/>
    </xf>
    <xf numFmtId="11" fontId="2" fillId="0" borderId="18" xfId="10" applyNumberFormat="1" applyBorder="1" applyAlignment="1">
      <alignment horizontal="center"/>
    </xf>
    <xf numFmtId="1" fontId="2" fillId="0" borderId="18" xfId="10" applyNumberFormat="1" applyBorder="1" applyAlignment="1">
      <alignment horizontal="center"/>
    </xf>
    <xf numFmtId="2" fontId="2" fillId="0" borderId="0" xfId="10" applyNumberFormat="1" applyAlignment="1">
      <alignment horizontal="center"/>
    </xf>
    <xf numFmtId="2" fontId="2" fillId="13" borderId="1" xfId="10" applyNumberFormat="1" applyFill="1" applyBorder="1" applyAlignment="1">
      <alignment horizontal="center"/>
    </xf>
    <xf numFmtId="0" fontId="16" fillId="16" borderId="1" xfId="10" applyFont="1" applyFill="1" applyBorder="1" applyAlignment="1">
      <alignment horizontal="center"/>
    </xf>
    <xf numFmtId="2" fontId="2" fillId="16" borderId="1" xfId="10" applyNumberFormat="1" applyFill="1" applyBorder="1"/>
    <xf numFmtId="11" fontId="2" fillId="16" borderId="1" xfId="10" applyNumberFormat="1" applyFill="1" applyBorder="1"/>
    <xf numFmtId="0" fontId="16" fillId="16" borderId="0" xfId="10" applyFont="1" applyFill="1" applyAlignment="1">
      <alignment horizontal="center"/>
    </xf>
    <xf numFmtId="165" fontId="16" fillId="16" borderId="0" xfId="10" applyNumberFormat="1" applyFont="1" applyFill="1"/>
    <xf numFmtId="2" fontId="16" fillId="0" borderId="0" xfId="10" applyNumberFormat="1" applyFont="1"/>
    <xf numFmtId="0" fontId="2" fillId="16" borderId="0" xfId="10" applyFill="1"/>
    <xf numFmtId="164" fontId="6" fillId="0" borderId="1" xfId="0" applyNumberFormat="1" applyFont="1" applyBorder="1"/>
    <xf numFmtId="0" fontId="6" fillId="4" borderId="0" xfId="0" applyNumberFormat="1" applyFont="1" applyFill="1"/>
    <xf numFmtId="0" fontId="11" fillId="0" borderId="0" xfId="3" applyFont="1"/>
    <xf numFmtId="0" fontId="11" fillId="17" borderId="1" xfId="3" applyFont="1" applyFill="1" applyBorder="1" applyAlignment="1">
      <alignment horizontal="center"/>
    </xf>
    <xf numFmtId="2" fontId="8" fillId="0" borderId="1" xfId="3" applyNumberFormat="1" applyBorder="1"/>
    <xf numFmtId="0" fontId="8" fillId="0" borderId="1" xfId="3" applyNumberFormat="1" applyBorder="1"/>
    <xf numFmtId="10" fontId="8" fillId="0" borderId="1" xfId="1" applyNumberFormat="1" applyFont="1" applyBorder="1"/>
    <xf numFmtId="0" fontId="9" fillId="0" borderId="0" xfId="3" applyFont="1" applyAlignment="1">
      <alignment horizontal="center"/>
    </xf>
    <xf numFmtId="10" fontId="17" fillId="0" borderId="1" xfId="1" applyNumberFormat="1" applyFont="1" applyBorder="1"/>
    <xf numFmtId="0" fontId="8" fillId="0" borderId="0" xfId="3" applyFont="1"/>
    <xf numFmtId="0" fontId="10" fillId="11" borderId="14" xfId="8" applyNumberFormat="1" applyFont="1" applyFill="1" applyBorder="1" applyAlignment="1">
      <alignment horizontal="center"/>
    </xf>
    <xf numFmtId="0" fontId="11" fillId="14" borderId="21" xfId="4" applyFont="1" applyFill="1" applyBorder="1" applyAlignment="1">
      <alignment horizontal="center"/>
    </xf>
    <xf numFmtId="0" fontId="11" fillId="14" borderId="22" xfId="4" applyFont="1" applyFill="1" applyBorder="1" applyAlignment="1">
      <alignment horizontal="center"/>
    </xf>
    <xf numFmtId="0" fontId="5" fillId="4" borderId="6" xfId="0" applyFont="1" applyFill="1" applyBorder="1" applyAlignment="1">
      <alignment horizontal="center" wrapText="1"/>
    </xf>
    <xf numFmtId="0" fontId="5" fillId="4" borderId="4" xfId="0" applyFont="1" applyFill="1" applyBorder="1" applyAlignment="1">
      <alignment horizontal="center" wrapText="1"/>
    </xf>
    <xf numFmtId="0" fontId="5" fillId="4" borderId="13" xfId="0" applyFont="1" applyFill="1" applyBorder="1" applyAlignment="1">
      <alignment horizontal="center" wrapText="1"/>
    </xf>
    <xf numFmtId="0" fontId="6" fillId="0" borderId="0" xfId="0" applyFont="1" applyAlignment="1">
      <alignment horizontal="left"/>
    </xf>
    <xf numFmtId="0" fontId="19" fillId="0" borderId="0" xfId="4" applyFont="1" applyAlignment="1">
      <alignment horizontal="right"/>
    </xf>
    <xf numFmtId="2" fontId="20" fillId="0" borderId="1" xfId="4" applyNumberFormat="1" applyFont="1" applyBorder="1" applyAlignment="1">
      <alignment horizontal="center"/>
    </xf>
    <xf numFmtId="1" fontId="20" fillId="0" borderId="1" xfId="4" applyNumberFormat="1" applyFont="1" applyBorder="1" applyAlignment="1">
      <alignment horizontal="center"/>
    </xf>
    <xf numFmtId="0" fontId="9" fillId="7" borderId="1" xfId="3" applyFont="1" applyFill="1" applyBorder="1" applyAlignment="1">
      <alignment horizontal="center" vertical="center"/>
    </xf>
    <xf numFmtId="0" fontId="9" fillId="7" borderId="1" xfId="3" applyFont="1" applyFill="1" applyBorder="1" applyAlignment="1">
      <alignment horizontal="center" vertical="center" wrapText="1"/>
    </xf>
    <xf numFmtId="0" fontId="11" fillId="18" borderId="3" xfId="4" applyFont="1" applyFill="1" applyBorder="1" applyAlignment="1">
      <alignment horizontal="center" vertical="center"/>
    </xf>
    <xf numFmtId="2" fontId="8" fillId="18" borderId="6" xfId="4" applyNumberFormat="1" applyFill="1" applyBorder="1" applyAlignment="1">
      <alignment horizontal="center"/>
    </xf>
    <xf numFmtId="2" fontId="8" fillId="18" borderId="5" xfId="4" applyNumberFormat="1" applyFill="1" applyBorder="1" applyAlignment="1">
      <alignment horizontal="center"/>
    </xf>
    <xf numFmtId="2" fontId="8" fillId="18" borderId="4" xfId="4" applyNumberFormat="1" applyFill="1" applyBorder="1" applyAlignment="1">
      <alignment horizontal="center"/>
    </xf>
    <xf numFmtId="2" fontId="8" fillId="18" borderId="13" xfId="4" applyNumberFormat="1" applyFill="1" applyBorder="1" applyAlignment="1">
      <alignment horizontal="center"/>
    </xf>
    <xf numFmtId="2" fontId="8" fillId="18" borderId="12" xfId="4" applyNumberFormat="1" applyFill="1" applyBorder="1" applyAlignment="1">
      <alignment horizontal="center"/>
    </xf>
    <xf numFmtId="0" fontId="8" fillId="18" borderId="0" xfId="4" applyFill="1"/>
    <xf numFmtId="2" fontId="8" fillId="18" borderId="0" xfId="4" applyNumberFormat="1" applyFill="1"/>
    <xf numFmtId="2" fontId="8" fillId="18" borderId="2" xfId="4" applyNumberFormat="1" applyFill="1" applyBorder="1"/>
    <xf numFmtId="0" fontId="10" fillId="13" borderId="1" xfId="4" applyFont="1" applyFill="1" applyBorder="1" applyAlignment="1">
      <alignment horizontal="center" vertical="center"/>
    </xf>
    <xf numFmtId="0" fontId="13" fillId="0" borderId="0" xfId="0" applyFont="1"/>
    <xf numFmtId="0" fontId="1" fillId="0" borderId="0" xfId="10" applyFont="1"/>
    <xf numFmtId="0" fontId="16" fillId="0" borderId="0" xfId="10" applyFont="1"/>
    <xf numFmtId="0" fontId="16" fillId="0" borderId="7" xfId="10" applyFont="1" applyBorder="1" applyAlignment="1">
      <alignment horizontal="center" wrapText="1"/>
    </xf>
    <xf numFmtId="0" fontId="16" fillId="0" borderId="9" xfId="10" applyFont="1" applyBorder="1" applyAlignment="1">
      <alignment horizontal="center" wrapText="1"/>
    </xf>
    <xf numFmtId="0" fontId="16" fillId="0" borderId="10" xfId="10" applyFont="1" applyBorder="1" applyAlignment="1">
      <alignment horizontal="center" wrapText="1"/>
    </xf>
    <xf numFmtId="0" fontId="16" fillId="0" borderId="12" xfId="10" applyFont="1" applyBorder="1" applyAlignment="1">
      <alignment horizontal="center" wrapText="1"/>
    </xf>
    <xf numFmtId="165" fontId="2" fillId="0" borderId="6" xfId="10" applyNumberFormat="1" applyBorder="1" applyAlignment="1">
      <alignment horizontal="center" vertical="center" wrapText="1"/>
    </xf>
    <xf numFmtId="165" fontId="2" fillId="0" borderId="13" xfId="10" applyNumberFormat="1" applyBorder="1" applyAlignment="1">
      <alignment horizontal="center" vertical="center" wrapText="1"/>
    </xf>
  </cellXfs>
  <cellStyles count="11">
    <cellStyle name="Euro" xfId="6"/>
    <cellStyle name="Normal" xfId="0" builtinId="0"/>
    <cellStyle name="Normal 2" xfId="2"/>
    <cellStyle name="Normal 2 2" xfId="4"/>
    <cellStyle name="Normal 2 3" xfId="8"/>
    <cellStyle name="Normal 3" xfId="3"/>
    <cellStyle name="Normal 4" xfId="10"/>
    <cellStyle name="Percent 2" xfId="5"/>
    <cellStyle name="Porcentaje" xfId="1" builtinId="5"/>
    <cellStyle name="Porcentaje 2" xfId="7"/>
    <cellStyle name="Porcentual 2" xfId="9"/>
  </cellStyles>
  <dxfs count="0"/>
  <tableStyles count="0" defaultTableStyle="TableStyleMedium9"/>
  <colors>
    <mruColors>
      <color rgb="FFD8E4BC"/>
      <color rgb="FFFF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ES"/>
              <a:t>Dispersión</a:t>
            </a:r>
            <a:r>
              <a:rPr lang="es-ES" baseline="0"/>
              <a:t> peso-estatura</a:t>
            </a:r>
            <a:endParaRPr lang="es-ES"/>
          </a:p>
        </c:rich>
      </c:tx>
      <c:layout/>
      <c:overlay val="0"/>
    </c:title>
    <c:autoTitleDeleted val="0"/>
    <c:plotArea>
      <c:layout/>
      <c:scatterChart>
        <c:scatterStyle val="lineMarker"/>
        <c:varyColors val="0"/>
        <c:ser>
          <c:idx val="0"/>
          <c:order val="0"/>
          <c:spPr>
            <a:ln w="28575">
              <a:noFill/>
            </a:ln>
          </c:spPr>
          <c:trendline>
            <c:spPr>
              <a:ln w="31750">
                <a:solidFill>
                  <a:schemeClr val="accent4">
                    <a:lumMod val="60000"/>
                    <a:lumOff val="40000"/>
                  </a:schemeClr>
                </a:solidFill>
              </a:ln>
            </c:spPr>
            <c:trendlineType val="linear"/>
            <c:dispRSqr val="1"/>
            <c:dispEq val="1"/>
            <c:trendlineLbl>
              <c:layout>
                <c:manualLayout>
                  <c:x val="-0.39136209325185706"/>
                  <c:y val="0.16082733677429079"/>
                </c:manualLayout>
              </c:layout>
              <c:numFmt formatCode="General" sourceLinked="0"/>
              <c:spPr>
                <a:solidFill>
                  <a:schemeClr val="accent4">
                    <a:lumMod val="20000"/>
                    <a:lumOff val="80000"/>
                  </a:schemeClr>
                </a:solidFill>
              </c:spPr>
            </c:trendlineLbl>
          </c:trendline>
          <c:trendline>
            <c:spPr>
              <a:ln w="19050">
                <a:solidFill>
                  <a:srgbClr val="FF0000"/>
                </a:solidFill>
              </a:ln>
            </c:spPr>
            <c:trendlineType val="log"/>
            <c:dispRSqr val="1"/>
            <c:dispEq val="1"/>
            <c:trendlineLbl>
              <c:layout>
                <c:manualLayout>
                  <c:x val="-0.35357573546549925"/>
                  <c:y val="-4.3907998342312474E-2"/>
                </c:manualLayout>
              </c:layout>
              <c:numFmt formatCode="General" sourceLinked="0"/>
              <c:spPr>
                <a:solidFill>
                  <a:schemeClr val="accent3">
                    <a:lumMod val="20000"/>
                    <a:lumOff val="80000"/>
                  </a:schemeClr>
                </a:solidFill>
              </c:spPr>
              <c:txPr>
                <a:bodyPr/>
                <a:lstStyle/>
                <a:p>
                  <a:pPr>
                    <a:defRPr>
                      <a:solidFill>
                        <a:sysClr val="windowText" lastClr="000000"/>
                      </a:solidFill>
                    </a:defRPr>
                  </a:pPr>
                  <a:endParaRPr lang="es-ES"/>
                </a:p>
              </c:txPr>
            </c:trendlineLbl>
          </c:trendline>
          <c:xVal>
            <c:numRef>
              <c:f>'Estatura-Peso No lineal'!$B$4:$B$140</c:f>
              <c:numCache>
                <c:formatCode>General</c:formatCode>
                <c:ptCount val="137"/>
                <c:pt idx="0">
                  <c:v>162</c:v>
                </c:pt>
                <c:pt idx="1">
                  <c:v>182</c:v>
                </c:pt>
                <c:pt idx="2">
                  <c:v>185</c:v>
                </c:pt>
                <c:pt idx="3">
                  <c:v>170</c:v>
                </c:pt>
                <c:pt idx="4">
                  <c:v>172</c:v>
                </c:pt>
                <c:pt idx="5">
                  <c:v>159</c:v>
                </c:pt>
                <c:pt idx="6">
                  <c:v>182</c:v>
                </c:pt>
                <c:pt idx="7">
                  <c:v>160</c:v>
                </c:pt>
                <c:pt idx="8">
                  <c:v>182</c:v>
                </c:pt>
                <c:pt idx="9">
                  <c:v>180</c:v>
                </c:pt>
                <c:pt idx="10">
                  <c:v>178</c:v>
                </c:pt>
                <c:pt idx="11">
                  <c:v>163</c:v>
                </c:pt>
                <c:pt idx="12">
                  <c:v>173</c:v>
                </c:pt>
                <c:pt idx="13">
                  <c:v>160</c:v>
                </c:pt>
                <c:pt idx="14">
                  <c:v>184</c:v>
                </c:pt>
                <c:pt idx="15">
                  <c:v>162</c:v>
                </c:pt>
                <c:pt idx="16">
                  <c:v>165</c:v>
                </c:pt>
                <c:pt idx="17">
                  <c:v>165</c:v>
                </c:pt>
                <c:pt idx="18">
                  <c:v>172</c:v>
                </c:pt>
                <c:pt idx="19">
                  <c:v>173</c:v>
                </c:pt>
                <c:pt idx="20">
                  <c:v>167</c:v>
                </c:pt>
                <c:pt idx="21">
                  <c:v>174</c:v>
                </c:pt>
                <c:pt idx="22">
                  <c:v>173</c:v>
                </c:pt>
                <c:pt idx="23">
                  <c:v>171</c:v>
                </c:pt>
                <c:pt idx="24">
                  <c:v>177</c:v>
                </c:pt>
                <c:pt idx="25">
                  <c:v>170</c:v>
                </c:pt>
                <c:pt idx="26">
                  <c:v>163.5</c:v>
                </c:pt>
                <c:pt idx="27">
                  <c:v>150</c:v>
                </c:pt>
                <c:pt idx="28">
                  <c:v>175</c:v>
                </c:pt>
                <c:pt idx="29">
                  <c:v>180</c:v>
                </c:pt>
                <c:pt idx="30">
                  <c:v>172</c:v>
                </c:pt>
                <c:pt idx="31">
                  <c:v>185</c:v>
                </c:pt>
                <c:pt idx="32">
                  <c:v>167</c:v>
                </c:pt>
                <c:pt idx="33">
                  <c:v>165</c:v>
                </c:pt>
                <c:pt idx="34">
                  <c:v>165</c:v>
                </c:pt>
                <c:pt idx="35">
                  <c:v>163</c:v>
                </c:pt>
                <c:pt idx="36">
                  <c:v>183</c:v>
                </c:pt>
                <c:pt idx="37">
                  <c:v>165</c:v>
                </c:pt>
                <c:pt idx="38">
                  <c:v>180</c:v>
                </c:pt>
                <c:pt idx="39">
                  <c:v>171</c:v>
                </c:pt>
                <c:pt idx="40">
                  <c:v>165</c:v>
                </c:pt>
                <c:pt idx="41">
                  <c:v>186</c:v>
                </c:pt>
                <c:pt idx="42">
                  <c:v>187</c:v>
                </c:pt>
                <c:pt idx="43">
                  <c:v>175</c:v>
                </c:pt>
                <c:pt idx="44">
                  <c:v>180</c:v>
                </c:pt>
                <c:pt idx="45">
                  <c:v>180</c:v>
                </c:pt>
                <c:pt idx="46">
                  <c:v>168</c:v>
                </c:pt>
                <c:pt idx="47">
                  <c:v>190</c:v>
                </c:pt>
                <c:pt idx="48">
                  <c:v>187</c:v>
                </c:pt>
                <c:pt idx="49">
                  <c:v>169</c:v>
                </c:pt>
                <c:pt idx="50">
                  <c:v>175</c:v>
                </c:pt>
                <c:pt idx="51">
                  <c:v>165</c:v>
                </c:pt>
                <c:pt idx="52">
                  <c:v>176</c:v>
                </c:pt>
                <c:pt idx="53">
                  <c:v>178</c:v>
                </c:pt>
                <c:pt idx="54">
                  <c:v>165</c:v>
                </c:pt>
                <c:pt idx="55">
                  <c:v>174</c:v>
                </c:pt>
                <c:pt idx="56">
                  <c:v>175</c:v>
                </c:pt>
                <c:pt idx="57">
                  <c:v>158</c:v>
                </c:pt>
                <c:pt idx="58">
                  <c:v>175</c:v>
                </c:pt>
                <c:pt idx="59">
                  <c:v>190</c:v>
                </c:pt>
                <c:pt idx="60">
                  <c:v>178</c:v>
                </c:pt>
                <c:pt idx="61">
                  <c:v>166</c:v>
                </c:pt>
                <c:pt idx="62">
                  <c:v>180</c:v>
                </c:pt>
                <c:pt idx="63">
                  <c:v>189</c:v>
                </c:pt>
                <c:pt idx="64">
                  <c:v>190</c:v>
                </c:pt>
                <c:pt idx="65">
                  <c:v>168</c:v>
                </c:pt>
                <c:pt idx="66">
                  <c:v>180</c:v>
                </c:pt>
                <c:pt idx="67">
                  <c:v>182</c:v>
                </c:pt>
                <c:pt idx="68">
                  <c:v>180</c:v>
                </c:pt>
                <c:pt idx="69">
                  <c:v>175</c:v>
                </c:pt>
                <c:pt idx="70">
                  <c:v>183</c:v>
                </c:pt>
                <c:pt idx="71">
                  <c:v>180</c:v>
                </c:pt>
                <c:pt idx="72">
                  <c:v>175</c:v>
                </c:pt>
                <c:pt idx="73">
                  <c:v>180</c:v>
                </c:pt>
                <c:pt idx="74">
                  <c:v>175</c:v>
                </c:pt>
                <c:pt idx="75">
                  <c:v>180</c:v>
                </c:pt>
                <c:pt idx="76">
                  <c:v>180</c:v>
                </c:pt>
                <c:pt idx="77">
                  <c:v>162</c:v>
                </c:pt>
                <c:pt idx="78">
                  <c:v>186</c:v>
                </c:pt>
                <c:pt idx="79">
                  <c:v>168</c:v>
                </c:pt>
                <c:pt idx="80">
                  <c:v>181</c:v>
                </c:pt>
                <c:pt idx="81">
                  <c:v>158</c:v>
                </c:pt>
                <c:pt idx="82">
                  <c:v>178</c:v>
                </c:pt>
                <c:pt idx="83">
                  <c:v>175</c:v>
                </c:pt>
                <c:pt idx="84">
                  <c:v>162</c:v>
                </c:pt>
                <c:pt idx="85">
                  <c:v>158</c:v>
                </c:pt>
                <c:pt idx="86">
                  <c:v>176</c:v>
                </c:pt>
                <c:pt idx="87">
                  <c:v>172</c:v>
                </c:pt>
                <c:pt idx="88">
                  <c:v>180</c:v>
                </c:pt>
                <c:pt idx="89">
                  <c:v>171</c:v>
                </c:pt>
                <c:pt idx="90">
                  <c:v>165</c:v>
                </c:pt>
                <c:pt idx="91">
                  <c:v>182</c:v>
                </c:pt>
                <c:pt idx="92">
                  <c:v>165</c:v>
                </c:pt>
                <c:pt idx="93">
                  <c:v>165</c:v>
                </c:pt>
                <c:pt idx="94">
                  <c:v>185</c:v>
                </c:pt>
                <c:pt idx="95">
                  <c:v>165</c:v>
                </c:pt>
                <c:pt idx="96">
                  <c:v>173</c:v>
                </c:pt>
                <c:pt idx="97">
                  <c:v>170</c:v>
                </c:pt>
                <c:pt idx="98">
                  <c:v>189</c:v>
                </c:pt>
                <c:pt idx="99">
                  <c:v>170</c:v>
                </c:pt>
                <c:pt idx="100">
                  <c:v>185</c:v>
                </c:pt>
                <c:pt idx="101">
                  <c:v>165</c:v>
                </c:pt>
                <c:pt idx="102">
                  <c:v>189</c:v>
                </c:pt>
                <c:pt idx="103">
                  <c:v>180</c:v>
                </c:pt>
                <c:pt idx="104">
                  <c:v>192</c:v>
                </c:pt>
                <c:pt idx="105">
                  <c:v>193</c:v>
                </c:pt>
                <c:pt idx="106">
                  <c:v>165</c:v>
                </c:pt>
                <c:pt idx="107">
                  <c:v>170</c:v>
                </c:pt>
                <c:pt idx="108">
                  <c:v>167</c:v>
                </c:pt>
                <c:pt idx="109">
                  <c:v>170</c:v>
                </c:pt>
                <c:pt idx="110">
                  <c:v>168</c:v>
                </c:pt>
                <c:pt idx="111">
                  <c:v>169</c:v>
                </c:pt>
                <c:pt idx="112">
                  <c:v>170</c:v>
                </c:pt>
                <c:pt idx="113">
                  <c:v>176</c:v>
                </c:pt>
                <c:pt idx="114">
                  <c:v>173</c:v>
                </c:pt>
                <c:pt idx="115">
                  <c:v>163</c:v>
                </c:pt>
                <c:pt idx="116">
                  <c:v>162</c:v>
                </c:pt>
                <c:pt idx="117">
                  <c:v>150</c:v>
                </c:pt>
                <c:pt idx="118">
                  <c:v>175</c:v>
                </c:pt>
                <c:pt idx="119">
                  <c:v>183</c:v>
                </c:pt>
                <c:pt idx="120">
                  <c:v>167</c:v>
                </c:pt>
                <c:pt idx="121">
                  <c:v>170</c:v>
                </c:pt>
                <c:pt idx="122">
                  <c:v>181</c:v>
                </c:pt>
                <c:pt idx="123">
                  <c:v>169</c:v>
                </c:pt>
                <c:pt idx="124">
                  <c:v>172</c:v>
                </c:pt>
                <c:pt idx="125">
                  <c:v>160</c:v>
                </c:pt>
                <c:pt idx="126">
                  <c:v>173</c:v>
                </c:pt>
                <c:pt idx="127">
                  <c:v>182</c:v>
                </c:pt>
                <c:pt idx="128">
                  <c:v>168</c:v>
                </c:pt>
                <c:pt idx="129">
                  <c:v>163</c:v>
                </c:pt>
                <c:pt idx="130">
                  <c:v>160</c:v>
                </c:pt>
                <c:pt idx="131">
                  <c:v>180</c:v>
                </c:pt>
                <c:pt idx="132">
                  <c:v>177</c:v>
                </c:pt>
                <c:pt idx="133">
                  <c:v>174</c:v>
                </c:pt>
                <c:pt idx="134">
                  <c:v>160</c:v>
                </c:pt>
                <c:pt idx="135">
                  <c:v>160</c:v>
                </c:pt>
                <c:pt idx="136">
                  <c:v>190</c:v>
                </c:pt>
              </c:numCache>
            </c:numRef>
          </c:xVal>
          <c:yVal>
            <c:numRef>
              <c:f>'Estatura-Peso No lineal'!$C$4:$C$140</c:f>
              <c:numCache>
                <c:formatCode>General</c:formatCode>
                <c:ptCount val="137"/>
                <c:pt idx="0">
                  <c:v>52.5</c:v>
                </c:pt>
                <c:pt idx="1">
                  <c:v>76</c:v>
                </c:pt>
                <c:pt idx="2">
                  <c:v>84</c:v>
                </c:pt>
                <c:pt idx="3">
                  <c:v>60</c:v>
                </c:pt>
                <c:pt idx="4">
                  <c:v>72</c:v>
                </c:pt>
                <c:pt idx="5">
                  <c:v>51</c:v>
                </c:pt>
                <c:pt idx="6">
                  <c:v>76</c:v>
                </c:pt>
                <c:pt idx="7">
                  <c:v>50</c:v>
                </c:pt>
                <c:pt idx="8">
                  <c:v>65</c:v>
                </c:pt>
                <c:pt idx="9">
                  <c:v>71</c:v>
                </c:pt>
                <c:pt idx="10">
                  <c:v>76</c:v>
                </c:pt>
                <c:pt idx="11">
                  <c:v>50</c:v>
                </c:pt>
                <c:pt idx="12">
                  <c:v>69</c:v>
                </c:pt>
                <c:pt idx="13">
                  <c:v>50</c:v>
                </c:pt>
                <c:pt idx="14">
                  <c:v>68</c:v>
                </c:pt>
                <c:pt idx="15">
                  <c:v>57</c:v>
                </c:pt>
                <c:pt idx="16">
                  <c:v>56</c:v>
                </c:pt>
                <c:pt idx="17">
                  <c:v>50</c:v>
                </c:pt>
                <c:pt idx="18">
                  <c:v>60</c:v>
                </c:pt>
                <c:pt idx="19">
                  <c:v>59</c:v>
                </c:pt>
                <c:pt idx="20">
                  <c:v>61</c:v>
                </c:pt>
                <c:pt idx="21">
                  <c:v>59.8</c:v>
                </c:pt>
                <c:pt idx="22">
                  <c:v>73</c:v>
                </c:pt>
                <c:pt idx="23">
                  <c:v>66</c:v>
                </c:pt>
                <c:pt idx="24">
                  <c:v>65</c:v>
                </c:pt>
                <c:pt idx="25">
                  <c:v>59</c:v>
                </c:pt>
                <c:pt idx="26">
                  <c:v>42.5</c:v>
                </c:pt>
                <c:pt idx="27">
                  <c:v>45</c:v>
                </c:pt>
                <c:pt idx="28">
                  <c:v>65</c:v>
                </c:pt>
                <c:pt idx="29">
                  <c:v>70</c:v>
                </c:pt>
                <c:pt idx="30">
                  <c:v>67</c:v>
                </c:pt>
                <c:pt idx="31">
                  <c:v>85</c:v>
                </c:pt>
                <c:pt idx="32">
                  <c:v>48</c:v>
                </c:pt>
                <c:pt idx="33">
                  <c:v>57</c:v>
                </c:pt>
                <c:pt idx="34">
                  <c:v>58</c:v>
                </c:pt>
                <c:pt idx="35">
                  <c:v>58</c:v>
                </c:pt>
                <c:pt idx="36">
                  <c:v>78</c:v>
                </c:pt>
                <c:pt idx="37">
                  <c:v>50</c:v>
                </c:pt>
                <c:pt idx="38">
                  <c:v>71</c:v>
                </c:pt>
                <c:pt idx="39">
                  <c:v>70</c:v>
                </c:pt>
                <c:pt idx="40">
                  <c:v>60</c:v>
                </c:pt>
                <c:pt idx="41">
                  <c:v>71</c:v>
                </c:pt>
                <c:pt idx="42">
                  <c:v>82</c:v>
                </c:pt>
                <c:pt idx="43">
                  <c:v>70</c:v>
                </c:pt>
                <c:pt idx="44">
                  <c:v>71</c:v>
                </c:pt>
                <c:pt idx="45">
                  <c:v>70</c:v>
                </c:pt>
                <c:pt idx="46">
                  <c:v>65</c:v>
                </c:pt>
                <c:pt idx="47">
                  <c:v>75</c:v>
                </c:pt>
                <c:pt idx="48">
                  <c:v>70</c:v>
                </c:pt>
                <c:pt idx="49">
                  <c:v>72</c:v>
                </c:pt>
                <c:pt idx="50">
                  <c:v>73</c:v>
                </c:pt>
                <c:pt idx="51">
                  <c:v>75</c:v>
                </c:pt>
                <c:pt idx="52">
                  <c:v>90</c:v>
                </c:pt>
                <c:pt idx="53">
                  <c:v>67.5</c:v>
                </c:pt>
                <c:pt idx="54">
                  <c:v>70</c:v>
                </c:pt>
                <c:pt idx="55">
                  <c:v>70</c:v>
                </c:pt>
                <c:pt idx="56">
                  <c:v>70</c:v>
                </c:pt>
                <c:pt idx="57">
                  <c:v>45</c:v>
                </c:pt>
                <c:pt idx="58">
                  <c:v>80</c:v>
                </c:pt>
                <c:pt idx="59">
                  <c:v>80</c:v>
                </c:pt>
                <c:pt idx="60">
                  <c:v>72</c:v>
                </c:pt>
                <c:pt idx="61">
                  <c:v>62</c:v>
                </c:pt>
                <c:pt idx="62">
                  <c:v>82</c:v>
                </c:pt>
                <c:pt idx="63">
                  <c:v>85</c:v>
                </c:pt>
                <c:pt idx="64">
                  <c:v>75</c:v>
                </c:pt>
                <c:pt idx="65">
                  <c:v>61</c:v>
                </c:pt>
                <c:pt idx="66">
                  <c:v>85</c:v>
                </c:pt>
                <c:pt idx="67">
                  <c:v>80</c:v>
                </c:pt>
                <c:pt idx="68">
                  <c:v>85</c:v>
                </c:pt>
                <c:pt idx="69">
                  <c:v>62</c:v>
                </c:pt>
                <c:pt idx="70">
                  <c:v>80</c:v>
                </c:pt>
                <c:pt idx="71">
                  <c:v>85</c:v>
                </c:pt>
                <c:pt idx="72">
                  <c:v>75</c:v>
                </c:pt>
                <c:pt idx="73">
                  <c:v>72</c:v>
                </c:pt>
                <c:pt idx="74">
                  <c:v>68</c:v>
                </c:pt>
                <c:pt idx="75">
                  <c:v>72</c:v>
                </c:pt>
                <c:pt idx="76">
                  <c:v>70</c:v>
                </c:pt>
                <c:pt idx="77">
                  <c:v>56</c:v>
                </c:pt>
                <c:pt idx="78">
                  <c:v>90</c:v>
                </c:pt>
                <c:pt idx="79">
                  <c:v>55</c:v>
                </c:pt>
                <c:pt idx="80">
                  <c:v>75</c:v>
                </c:pt>
                <c:pt idx="81">
                  <c:v>60</c:v>
                </c:pt>
                <c:pt idx="82">
                  <c:v>70</c:v>
                </c:pt>
                <c:pt idx="83">
                  <c:v>72</c:v>
                </c:pt>
                <c:pt idx="84">
                  <c:v>44</c:v>
                </c:pt>
                <c:pt idx="85">
                  <c:v>51</c:v>
                </c:pt>
                <c:pt idx="86">
                  <c:v>60</c:v>
                </c:pt>
                <c:pt idx="87">
                  <c:v>63</c:v>
                </c:pt>
                <c:pt idx="88">
                  <c:v>63</c:v>
                </c:pt>
                <c:pt idx="89">
                  <c:v>62</c:v>
                </c:pt>
                <c:pt idx="90">
                  <c:v>54</c:v>
                </c:pt>
                <c:pt idx="91">
                  <c:v>65</c:v>
                </c:pt>
                <c:pt idx="92">
                  <c:v>65</c:v>
                </c:pt>
                <c:pt idx="93">
                  <c:v>57</c:v>
                </c:pt>
                <c:pt idx="94">
                  <c:v>57</c:v>
                </c:pt>
                <c:pt idx="95">
                  <c:v>50</c:v>
                </c:pt>
                <c:pt idx="96">
                  <c:v>67</c:v>
                </c:pt>
                <c:pt idx="97">
                  <c:v>72</c:v>
                </c:pt>
                <c:pt idx="98">
                  <c:v>79</c:v>
                </c:pt>
                <c:pt idx="99">
                  <c:v>64</c:v>
                </c:pt>
                <c:pt idx="100">
                  <c:v>95</c:v>
                </c:pt>
                <c:pt idx="101">
                  <c:v>58</c:v>
                </c:pt>
                <c:pt idx="102">
                  <c:v>83</c:v>
                </c:pt>
                <c:pt idx="103">
                  <c:v>75</c:v>
                </c:pt>
                <c:pt idx="104">
                  <c:v>83</c:v>
                </c:pt>
                <c:pt idx="105">
                  <c:v>85</c:v>
                </c:pt>
                <c:pt idx="106">
                  <c:v>56</c:v>
                </c:pt>
                <c:pt idx="107">
                  <c:v>60</c:v>
                </c:pt>
                <c:pt idx="108">
                  <c:v>59</c:v>
                </c:pt>
                <c:pt idx="109">
                  <c:v>90</c:v>
                </c:pt>
                <c:pt idx="110">
                  <c:v>58</c:v>
                </c:pt>
                <c:pt idx="111">
                  <c:v>51</c:v>
                </c:pt>
                <c:pt idx="112">
                  <c:v>70</c:v>
                </c:pt>
                <c:pt idx="113">
                  <c:v>75</c:v>
                </c:pt>
                <c:pt idx="114">
                  <c:v>67</c:v>
                </c:pt>
                <c:pt idx="115">
                  <c:v>45</c:v>
                </c:pt>
                <c:pt idx="116">
                  <c:v>47</c:v>
                </c:pt>
                <c:pt idx="117">
                  <c:v>50</c:v>
                </c:pt>
                <c:pt idx="118">
                  <c:v>72</c:v>
                </c:pt>
                <c:pt idx="119">
                  <c:v>65</c:v>
                </c:pt>
                <c:pt idx="120">
                  <c:v>65</c:v>
                </c:pt>
                <c:pt idx="121">
                  <c:v>58</c:v>
                </c:pt>
                <c:pt idx="122">
                  <c:v>78</c:v>
                </c:pt>
                <c:pt idx="123">
                  <c:v>57</c:v>
                </c:pt>
                <c:pt idx="124">
                  <c:v>52</c:v>
                </c:pt>
                <c:pt idx="125">
                  <c:v>48</c:v>
                </c:pt>
                <c:pt idx="126">
                  <c:v>62</c:v>
                </c:pt>
                <c:pt idx="127">
                  <c:v>64</c:v>
                </c:pt>
                <c:pt idx="128">
                  <c:v>58</c:v>
                </c:pt>
                <c:pt idx="129">
                  <c:v>62</c:v>
                </c:pt>
                <c:pt idx="130">
                  <c:v>53</c:v>
                </c:pt>
                <c:pt idx="131">
                  <c:v>75</c:v>
                </c:pt>
                <c:pt idx="132">
                  <c:v>80</c:v>
                </c:pt>
                <c:pt idx="133">
                  <c:v>80</c:v>
                </c:pt>
                <c:pt idx="134">
                  <c:v>50</c:v>
                </c:pt>
                <c:pt idx="135">
                  <c:v>52</c:v>
                </c:pt>
                <c:pt idx="136">
                  <c:v>85</c:v>
                </c:pt>
              </c:numCache>
            </c:numRef>
          </c:yVal>
          <c:smooth val="0"/>
          <c:extLst>
            <c:ext xmlns:c16="http://schemas.microsoft.com/office/drawing/2014/chart" uri="{C3380CC4-5D6E-409C-BE32-E72D297353CC}">
              <c16:uniqueId val="{00000000-F054-42C9-B407-FD354892930B}"/>
            </c:ext>
          </c:extLst>
        </c:ser>
        <c:dLbls>
          <c:showLegendKey val="0"/>
          <c:showVal val="0"/>
          <c:showCatName val="0"/>
          <c:showSerName val="0"/>
          <c:showPercent val="0"/>
          <c:showBubbleSize val="0"/>
        </c:dLbls>
        <c:axId val="106079936"/>
        <c:axId val="106080512"/>
      </c:scatterChart>
      <c:valAx>
        <c:axId val="106079936"/>
        <c:scaling>
          <c:orientation val="minMax"/>
          <c:min val="145"/>
        </c:scaling>
        <c:delete val="0"/>
        <c:axPos val="b"/>
        <c:title>
          <c:tx>
            <c:rich>
              <a:bodyPr/>
              <a:lstStyle/>
              <a:p>
                <a:pPr>
                  <a:defRPr sz="1100"/>
                </a:pPr>
                <a:r>
                  <a:rPr lang="en-US" sz="1100"/>
                  <a:t>Estatura (en cm)</a:t>
                </a:r>
              </a:p>
            </c:rich>
          </c:tx>
          <c:layout/>
          <c:overlay val="0"/>
        </c:title>
        <c:numFmt formatCode="General" sourceLinked="1"/>
        <c:majorTickMark val="out"/>
        <c:minorTickMark val="none"/>
        <c:tickLblPos val="nextTo"/>
        <c:crossAx val="106080512"/>
        <c:crosses val="autoZero"/>
        <c:crossBetween val="midCat"/>
      </c:valAx>
      <c:valAx>
        <c:axId val="106080512"/>
        <c:scaling>
          <c:orientation val="minMax"/>
          <c:min val="30"/>
        </c:scaling>
        <c:delete val="0"/>
        <c:axPos val="l"/>
        <c:majorGridlines/>
        <c:title>
          <c:tx>
            <c:rich>
              <a:bodyPr rot="-5400000" vert="horz"/>
              <a:lstStyle/>
              <a:p>
                <a:pPr>
                  <a:defRPr sz="1100"/>
                </a:pPr>
                <a:r>
                  <a:rPr lang="en-US" sz="1100"/>
                  <a:t>Peso (en Kg)</a:t>
                </a:r>
              </a:p>
            </c:rich>
          </c:tx>
          <c:layout/>
          <c:overlay val="0"/>
        </c:title>
        <c:numFmt formatCode="General" sourceLinked="1"/>
        <c:majorTickMark val="out"/>
        <c:minorTickMark val="none"/>
        <c:tickLblPos val="nextTo"/>
        <c:crossAx val="106079936"/>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ES"/>
              <a:t>Ajuste de regresión de las ventas en función del precio</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ES"/>
        </a:p>
      </c:txPr>
    </c:title>
    <c:autoTitleDeleted val="0"/>
    <c:plotArea>
      <c:layout/>
      <c:scatterChart>
        <c:scatterStyle val="lineMarker"/>
        <c:varyColors val="0"/>
        <c:ser>
          <c:idx val="0"/>
          <c:order val="0"/>
          <c:tx>
            <c:strRef>
              <c:f>Refrescos!$C$2</c:f>
              <c:strCache>
                <c:ptCount val="1"/>
                <c:pt idx="0">
                  <c:v>Ventas (número de botellas)</c:v>
                </c:pt>
              </c:strCache>
            </c:strRef>
          </c:tx>
          <c:spPr>
            <a:ln w="25400" cap="rnd">
              <a:noFill/>
              <a:round/>
            </a:ln>
            <a:effectLst>
              <a:outerShdw blurRad="40000" dist="23000" dir="5400000" rotWithShape="0">
                <a:srgbClr val="000000">
                  <a:alpha val="35000"/>
                </a:srgbClr>
              </a:outerShdw>
            </a:effectLst>
          </c:spPr>
          <c:marker>
            <c:symbol val="circle"/>
            <c:size val="5"/>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9525">
                <a:solidFill>
                  <a:schemeClr val="accent1"/>
                </a:solidFill>
                <a:round/>
              </a:ln>
              <a:effectLst>
                <a:outerShdw blurRad="40000" dist="23000" dir="5400000" rotWithShape="0">
                  <a:srgbClr val="000000">
                    <a:alpha val="35000"/>
                  </a:srgbClr>
                </a:outerShdw>
              </a:effectLst>
            </c:spPr>
          </c:marker>
          <c:trendline>
            <c:spPr>
              <a:ln w="22225" cap="rnd">
                <a:solidFill>
                  <a:schemeClr val="accent4">
                    <a:lumMod val="60000"/>
                    <a:lumOff val="40000"/>
                  </a:schemeClr>
                </a:solidFill>
              </a:ln>
              <a:effectLst/>
            </c:spPr>
            <c:trendlineType val="exp"/>
            <c:dispRSqr val="1"/>
            <c:dispEq val="1"/>
            <c:trendlineLbl>
              <c:layout>
                <c:manualLayout>
                  <c:x val="-0.31020593928349632"/>
                  <c:y val="-0.42681980269707664"/>
                </c:manualLayout>
              </c:layout>
              <c:numFmt formatCode="General" sourceLinked="0"/>
              <c:spPr>
                <a:solidFill>
                  <a:schemeClr val="accent4">
                    <a:lumMod val="40000"/>
                    <a:lumOff val="60000"/>
                  </a:schemeClr>
                </a:solidFill>
                <a:ln>
                  <a:noFill/>
                </a:ln>
                <a:effectLst/>
              </c:spPr>
              <c:txPr>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es-ES"/>
                </a:p>
              </c:txPr>
            </c:trendlineLbl>
          </c:trendline>
          <c:trendline>
            <c:spPr>
              <a:ln w="9525" cap="rnd">
                <a:solidFill>
                  <a:schemeClr val="accent1"/>
                </a:solidFill>
              </a:ln>
              <a:effectLst/>
            </c:spPr>
            <c:trendlineType val="linear"/>
            <c:dispRSqr val="1"/>
            <c:dispEq val="1"/>
            <c:trendlineLbl>
              <c:layout>
                <c:manualLayout>
                  <c:x val="-1.8553846572287272E-2"/>
                  <c:y val="-0.494778320096597"/>
                </c:manualLayout>
              </c:layout>
              <c:numFmt formatCode="General" sourceLinked="0"/>
              <c:spPr>
                <a:solidFill>
                  <a:schemeClr val="tx2">
                    <a:lumMod val="60000"/>
                    <a:lumOff val="40000"/>
                  </a:schemeClr>
                </a:solid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ES"/>
                </a:p>
              </c:txPr>
            </c:trendlineLbl>
          </c:trendline>
          <c:xVal>
            <c:numRef>
              <c:f>Refrescos!$B$3:$B$22</c:f>
              <c:numCache>
                <c:formatCode>General</c:formatCode>
                <c:ptCount val="20"/>
                <c:pt idx="0">
                  <c:v>0.5</c:v>
                </c:pt>
                <c:pt idx="1">
                  <c:v>1.35</c:v>
                </c:pt>
                <c:pt idx="2">
                  <c:v>0.79</c:v>
                </c:pt>
                <c:pt idx="3">
                  <c:v>1.71</c:v>
                </c:pt>
                <c:pt idx="4">
                  <c:v>1.38</c:v>
                </c:pt>
                <c:pt idx="5">
                  <c:v>1.22</c:v>
                </c:pt>
                <c:pt idx="6">
                  <c:v>1.03</c:v>
                </c:pt>
                <c:pt idx="7">
                  <c:v>1.84</c:v>
                </c:pt>
                <c:pt idx="8">
                  <c:v>1.73</c:v>
                </c:pt>
                <c:pt idx="9">
                  <c:v>1.62</c:v>
                </c:pt>
                <c:pt idx="10">
                  <c:v>0.76</c:v>
                </c:pt>
                <c:pt idx="11">
                  <c:v>1.79</c:v>
                </c:pt>
                <c:pt idx="12">
                  <c:v>1.57</c:v>
                </c:pt>
                <c:pt idx="13">
                  <c:v>1.27</c:v>
                </c:pt>
                <c:pt idx="14">
                  <c:v>0.96</c:v>
                </c:pt>
                <c:pt idx="15">
                  <c:v>0.52</c:v>
                </c:pt>
                <c:pt idx="16">
                  <c:v>0.64</c:v>
                </c:pt>
                <c:pt idx="17">
                  <c:v>1.05</c:v>
                </c:pt>
                <c:pt idx="18">
                  <c:v>0.72</c:v>
                </c:pt>
                <c:pt idx="19">
                  <c:v>0.75</c:v>
                </c:pt>
              </c:numCache>
            </c:numRef>
          </c:xVal>
          <c:yVal>
            <c:numRef>
              <c:f>Refrescos!$C$3:$C$22</c:f>
              <c:numCache>
                <c:formatCode>General</c:formatCode>
                <c:ptCount val="20"/>
                <c:pt idx="0">
                  <c:v>181</c:v>
                </c:pt>
                <c:pt idx="1">
                  <c:v>33</c:v>
                </c:pt>
                <c:pt idx="2">
                  <c:v>91</c:v>
                </c:pt>
                <c:pt idx="3">
                  <c:v>13</c:v>
                </c:pt>
                <c:pt idx="4">
                  <c:v>34</c:v>
                </c:pt>
                <c:pt idx="5">
                  <c:v>47</c:v>
                </c:pt>
                <c:pt idx="6">
                  <c:v>73</c:v>
                </c:pt>
                <c:pt idx="7">
                  <c:v>11</c:v>
                </c:pt>
                <c:pt idx="8">
                  <c:v>15</c:v>
                </c:pt>
                <c:pt idx="9">
                  <c:v>20</c:v>
                </c:pt>
                <c:pt idx="10">
                  <c:v>91</c:v>
                </c:pt>
                <c:pt idx="11">
                  <c:v>13</c:v>
                </c:pt>
                <c:pt idx="12">
                  <c:v>22</c:v>
                </c:pt>
                <c:pt idx="13">
                  <c:v>34</c:v>
                </c:pt>
                <c:pt idx="14">
                  <c:v>74</c:v>
                </c:pt>
                <c:pt idx="15">
                  <c:v>164</c:v>
                </c:pt>
                <c:pt idx="16">
                  <c:v>129</c:v>
                </c:pt>
                <c:pt idx="17">
                  <c:v>55</c:v>
                </c:pt>
                <c:pt idx="18">
                  <c:v>107</c:v>
                </c:pt>
                <c:pt idx="19">
                  <c:v>119</c:v>
                </c:pt>
              </c:numCache>
            </c:numRef>
          </c:yVal>
          <c:smooth val="0"/>
          <c:extLst>
            <c:ext xmlns:c16="http://schemas.microsoft.com/office/drawing/2014/chart" uri="{C3380CC4-5D6E-409C-BE32-E72D297353CC}">
              <c16:uniqueId val="{00000001-0B29-4C3B-B29B-DC9AED30CD46}"/>
            </c:ext>
          </c:extLst>
        </c:ser>
        <c:dLbls>
          <c:showLegendKey val="0"/>
          <c:showVal val="0"/>
          <c:showCatName val="0"/>
          <c:showSerName val="0"/>
          <c:showPercent val="0"/>
          <c:showBubbleSize val="0"/>
        </c:dLbls>
        <c:axId val="106082240"/>
        <c:axId val="106082816"/>
      </c:scatterChart>
      <c:valAx>
        <c:axId val="106082240"/>
        <c:scaling>
          <c:orientation val="minMax"/>
          <c:min val="0.5"/>
        </c:scaling>
        <c:delete val="0"/>
        <c:axPos val="b"/>
        <c:majorGridlines>
          <c:spPr>
            <a:ln w="9525" cap="flat" cmpd="sng" algn="ctr">
              <a:solidFill>
                <a:schemeClr val="tx2">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US"/>
                  <a:t>Precio (en €)</a:t>
                </a:r>
              </a:p>
            </c:rich>
          </c:tx>
          <c:layout/>
          <c:overlay val="0"/>
          <c:spPr>
            <a:noFill/>
            <a:ln>
              <a:noFill/>
            </a:ln>
            <a:effectLst/>
          </c:spPr>
          <c:txPr>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s-ES"/>
            </a:p>
          </c:txPr>
        </c:title>
        <c:numFmt formatCode="General" sourceLinked="1"/>
        <c:majorTickMark val="none"/>
        <c:minorTickMark val="none"/>
        <c:tickLblPos val="nextTo"/>
        <c:spPr>
          <a:noFill/>
          <a:ln>
            <a:solidFill>
              <a:schemeClr val="tx2">
                <a:lumMod val="40000"/>
                <a:lumOff val="60000"/>
              </a:schemeClr>
            </a:solidFill>
          </a:ln>
          <a:effectLst/>
        </c:spPr>
        <c:txPr>
          <a:bodyPr rot="0" spcFirstLastPara="1" vertOverflow="ellipsis" wrap="square" anchor="ctr" anchorCtr="1"/>
          <a:lstStyle/>
          <a:p>
            <a:pPr>
              <a:defRPr sz="900" b="0" i="0" u="none" strike="noStrike" kern="1200" baseline="0">
                <a:solidFill>
                  <a:schemeClr val="tx2"/>
                </a:solidFill>
                <a:latin typeface="+mn-lt"/>
                <a:ea typeface="+mn-ea"/>
                <a:cs typeface="+mn-cs"/>
              </a:defRPr>
            </a:pPr>
            <a:endParaRPr lang="es-ES"/>
          </a:p>
        </c:txPr>
        <c:crossAx val="106082816"/>
        <c:crosses val="autoZero"/>
        <c:crossBetween val="midCat"/>
      </c:valAx>
      <c:valAx>
        <c:axId val="106082816"/>
        <c:scaling>
          <c:orientation val="minMax"/>
        </c:scaling>
        <c:delete val="0"/>
        <c:axPos val="l"/>
        <c:majorGridlines>
          <c:spPr>
            <a:ln w="9525" cap="flat" cmpd="sng" algn="ctr">
              <a:solidFill>
                <a:schemeClr val="tx2">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US"/>
                  <a:t>Ventas (nº botellas)</a:t>
                </a:r>
              </a:p>
            </c:rich>
          </c:tx>
          <c:layout/>
          <c:overlay val="0"/>
          <c:spPr>
            <a:noFill/>
            <a:ln>
              <a:noFill/>
            </a:ln>
            <a:effectLst/>
          </c:spPr>
          <c:txPr>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s-ES"/>
            </a:p>
          </c:txPr>
        </c:title>
        <c:numFmt formatCode="General"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10608224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ES"/>
              <a:t>Ajuste de regresión Beneficio-Gasto en publicidad</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ES"/>
        </a:p>
      </c:txPr>
    </c:title>
    <c:autoTitleDeleted val="0"/>
    <c:plotArea>
      <c:layout/>
      <c:scatterChart>
        <c:scatterStyle val="lineMarker"/>
        <c:varyColors val="0"/>
        <c:ser>
          <c:idx val="0"/>
          <c:order val="0"/>
          <c:spPr>
            <a:ln w="25400" cap="rnd">
              <a:noFill/>
              <a:round/>
            </a:ln>
            <a:effectLst>
              <a:outerShdw blurRad="40000" dist="23000" dir="5400000" rotWithShape="0">
                <a:srgbClr val="000000">
                  <a:alpha val="35000"/>
                </a:srgbClr>
              </a:outerShdw>
            </a:effectLst>
          </c:spPr>
          <c:marker>
            <c:symbol val="circle"/>
            <c:size val="5"/>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9525">
                <a:solidFill>
                  <a:schemeClr val="accent1"/>
                </a:solidFill>
                <a:round/>
              </a:ln>
              <a:effectLst>
                <a:outerShdw blurRad="40000" dist="23000" dir="5400000" rotWithShape="0">
                  <a:srgbClr val="000000">
                    <a:alpha val="35000"/>
                  </a:srgbClr>
                </a:outerShdw>
              </a:effectLst>
            </c:spPr>
          </c:marker>
          <c:xVal>
            <c:numRef>
              <c:f>Publicidad!$C$16:$C$25</c:f>
              <c:numCache>
                <c:formatCode>General</c:formatCode>
                <c:ptCount val="10"/>
                <c:pt idx="0">
                  <c:v>2</c:v>
                </c:pt>
                <c:pt idx="1">
                  <c:v>2.8</c:v>
                </c:pt>
                <c:pt idx="2">
                  <c:v>3.9</c:v>
                </c:pt>
                <c:pt idx="3">
                  <c:v>4.2</c:v>
                </c:pt>
                <c:pt idx="4">
                  <c:v>5.8</c:v>
                </c:pt>
                <c:pt idx="5">
                  <c:v>6.2</c:v>
                </c:pt>
                <c:pt idx="6">
                  <c:v>7.5</c:v>
                </c:pt>
                <c:pt idx="7">
                  <c:v>8.1999999999999993</c:v>
                </c:pt>
                <c:pt idx="8">
                  <c:v>9.3000000000000007</c:v>
                </c:pt>
                <c:pt idx="9">
                  <c:v>10.9</c:v>
                </c:pt>
              </c:numCache>
            </c:numRef>
          </c:xVal>
          <c:yVal>
            <c:numRef>
              <c:f>Publicidad!$D$16:$D$25</c:f>
              <c:numCache>
                <c:formatCode>General</c:formatCode>
                <c:ptCount val="10"/>
                <c:pt idx="0">
                  <c:v>-6</c:v>
                </c:pt>
                <c:pt idx="1">
                  <c:v>-3</c:v>
                </c:pt>
                <c:pt idx="2">
                  <c:v>0</c:v>
                </c:pt>
                <c:pt idx="3">
                  <c:v>3</c:v>
                </c:pt>
                <c:pt idx="4">
                  <c:v>6</c:v>
                </c:pt>
                <c:pt idx="5">
                  <c:v>9</c:v>
                </c:pt>
                <c:pt idx="6">
                  <c:v>12</c:v>
                </c:pt>
                <c:pt idx="7">
                  <c:v>15</c:v>
                </c:pt>
                <c:pt idx="8">
                  <c:v>20</c:v>
                </c:pt>
                <c:pt idx="9">
                  <c:v>25</c:v>
                </c:pt>
              </c:numCache>
            </c:numRef>
          </c:yVal>
          <c:smooth val="0"/>
          <c:extLst>
            <c:ext xmlns:c16="http://schemas.microsoft.com/office/drawing/2014/chart" uri="{C3380CC4-5D6E-409C-BE32-E72D297353CC}">
              <c16:uniqueId val="{00000000-3236-4F19-B97C-EE4B6F23D51F}"/>
            </c:ext>
          </c:extLst>
        </c:ser>
        <c:ser>
          <c:idx val="1"/>
          <c:order val="1"/>
          <c:spPr>
            <a:ln w="25400" cap="rnd">
              <a:noFill/>
              <a:round/>
            </a:ln>
            <a:effectLst>
              <a:outerShdw blurRad="40000" dist="23000" dir="5400000" rotWithShape="0">
                <a:srgbClr val="000000">
                  <a:alpha val="35000"/>
                </a:srgbClr>
              </a:outerShdw>
            </a:effectLst>
          </c:spPr>
          <c:marker>
            <c:symbol val="circle"/>
            <c:size val="5"/>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w="9525">
                <a:solidFill>
                  <a:schemeClr val="accent2"/>
                </a:solidFill>
                <a:round/>
              </a:ln>
              <a:effectLst>
                <a:outerShdw blurRad="40000" dist="23000" dir="5400000" rotWithShape="0">
                  <a:srgbClr val="000000">
                    <a:alpha val="35000"/>
                  </a:srgbClr>
                </a:outerShdw>
              </a:effectLst>
            </c:spPr>
          </c:marker>
          <c:trendline>
            <c:spPr>
              <a:ln w="9525" cap="rnd">
                <a:solidFill>
                  <a:schemeClr val="accent2"/>
                </a:solidFill>
              </a:ln>
              <a:effectLst/>
            </c:spPr>
            <c:trendlineType val="linear"/>
            <c:dispRSqr val="1"/>
            <c:dispEq val="1"/>
            <c:trendlineLbl>
              <c:layout>
                <c:manualLayout>
                  <c:x val="-0.16229438473475488"/>
                  <c:y val="-4.2855569627223172E-2"/>
                </c:manualLayout>
              </c:layout>
              <c:numFmt formatCode="General" sourceLinked="0"/>
              <c:spPr>
                <a:solidFill>
                  <a:schemeClr val="tx2">
                    <a:lumMod val="60000"/>
                    <a:lumOff val="40000"/>
                  </a:schemeClr>
                </a:solid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trendlineLbl>
          </c:trendline>
          <c:trendline>
            <c:spPr>
              <a:ln w="19050" cap="rnd">
                <a:solidFill>
                  <a:schemeClr val="bg1">
                    <a:lumMod val="75000"/>
                  </a:schemeClr>
                </a:solidFill>
              </a:ln>
              <a:effectLst/>
            </c:spPr>
            <c:trendlineType val="log"/>
            <c:dispRSqr val="1"/>
            <c:dispEq val="1"/>
            <c:trendlineLbl>
              <c:layout>
                <c:manualLayout>
                  <c:x val="-0.45034810429718181"/>
                  <c:y val="-7.3521281867738555E-2"/>
                </c:manualLayout>
              </c:layout>
              <c:numFmt formatCode="General" sourceLinked="0"/>
              <c:spPr>
                <a:solidFill>
                  <a:schemeClr val="bg1">
                    <a:lumMod val="95000"/>
                  </a:schemeClr>
                </a:solid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trendlineLbl>
          </c:trendline>
          <c:trendline>
            <c:spPr>
              <a:ln w="9525" cap="rnd">
                <a:solidFill>
                  <a:schemeClr val="accent2"/>
                </a:solidFill>
              </a:ln>
              <a:effectLst/>
            </c:spPr>
            <c:trendlineType val="linear"/>
            <c:dispRSqr val="0"/>
            <c:dispEq val="0"/>
          </c:trendline>
          <c:xVal>
            <c:numRef>
              <c:f>Publicidad!$C$16:$C$25</c:f>
              <c:numCache>
                <c:formatCode>General</c:formatCode>
                <c:ptCount val="10"/>
                <c:pt idx="0">
                  <c:v>2</c:v>
                </c:pt>
                <c:pt idx="1">
                  <c:v>2.8</c:v>
                </c:pt>
                <c:pt idx="2">
                  <c:v>3.9</c:v>
                </c:pt>
                <c:pt idx="3">
                  <c:v>4.2</c:v>
                </c:pt>
                <c:pt idx="4">
                  <c:v>5.8</c:v>
                </c:pt>
                <c:pt idx="5">
                  <c:v>6.2</c:v>
                </c:pt>
                <c:pt idx="6">
                  <c:v>7.5</c:v>
                </c:pt>
                <c:pt idx="7">
                  <c:v>8.1999999999999993</c:v>
                </c:pt>
                <c:pt idx="8">
                  <c:v>9.3000000000000007</c:v>
                </c:pt>
                <c:pt idx="9">
                  <c:v>10.9</c:v>
                </c:pt>
              </c:numCache>
            </c:numRef>
          </c:xVal>
          <c:yVal>
            <c:numRef>
              <c:f>Publicidad!$D$16:$D$25</c:f>
              <c:numCache>
                <c:formatCode>General</c:formatCode>
                <c:ptCount val="10"/>
                <c:pt idx="0">
                  <c:v>-6</c:v>
                </c:pt>
                <c:pt idx="1">
                  <c:v>-3</c:v>
                </c:pt>
                <c:pt idx="2">
                  <c:v>0</c:v>
                </c:pt>
                <c:pt idx="3">
                  <c:v>3</c:v>
                </c:pt>
                <c:pt idx="4">
                  <c:v>6</c:v>
                </c:pt>
                <c:pt idx="5">
                  <c:v>9</c:v>
                </c:pt>
                <c:pt idx="6">
                  <c:v>12</c:v>
                </c:pt>
                <c:pt idx="7">
                  <c:v>15</c:v>
                </c:pt>
                <c:pt idx="8">
                  <c:v>20</c:v>
                </c:pt>
                <c:pt idx="9">
                  <c:v>25</c:v>
                </c:pt>
              </c:numCache>
            </c:numRef>
          </c:yVal>
          <c:smooth val="0"/>
          <c:extLst>
            <c:ext xmlns:c16="http://schemas.microsoft.com/office/drawing/2014/chart" uri="{C3380CC4-5D6E-409C-BE32-E72D297353CC}">
              <c16:uniqueId val="{00000001-3236-4F19-B97C-EE4B6F23D51F}"/>
            </c:ext>
          </c:extLst>
        </c:ser>
        <c:dLbls>
          <c:showLegendKey val="0"/>
          <c:showVal val="0"/>
          <c:showCatName val="0"/>
          <c:showSerName val="0"/>
          <c:showPercent val="0"/>
          <c:showBubbleSize val="0"/>
        </c:dLbls>
        <c:axId val="128155648"/>
        <c:axId val="128156224"/>
      </c:scatterChart>
      <c:valAx>
        <c:axId val="128155648"/>
        <c:scaling>
          <c:orientation val="minMax"/>
        </c:scaling>
        <c:delete val="0"/>
        <c:axPos val="b"/>
        <c:majorGridlines>
          <c:spPr>
            <a:ln w="9525" cap="flat" cmpd="sng" algn="ctr">
              <a:solidFill>
                <a:schemeClr val="tx2">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US"/>
                  <a:t>Gastos en publicidad (millones €)</a:t>
                </a:r>
              </a:p>
            </c:rich>
          </c:tx>
          <c:layout/>
          <c:overlay val="0"/>
          <c:spPr>
            <a:noFill/>
            <a:ln>
              <a:noFill/>
            </a:ln>
            <a:effectLst/>
          </c:spPr>
          <c:txPr>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s-ES"/>
            </a:p>
          </c:txPr>
        </c:title>
        <c:numFmt formatCode="General" sourceLinked="1"/>
        <c:majorTickMark val="none"/>
        <c:minorTickMark val="none"/>
        <c:tickLblPos val="low"/>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128156224"/>
        <c:crosses val="autoZero"/>
        <c:crossBetween val="midCat"/>
      </c:valAx>
      <c:valAx>
        <c:axId val="128156224"/>
        <c:scaling>
          <c:orientation val="minMax"/>
        </c:scaling>
        <c:delete val="0"/>
        <c:axPos val="l"/>
        <c:majorGridlines>
          <c:spPr>
            <a:ln w="9525" cap="flat" cmpd="sng" algn="ctr">
              <a:solidFill>
                <a:schemeClr val="tx2">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US"/>
                  <a:t>Beneficios anuales (millones €)</a:t>
                </a:r>
              </a:p>
            </c:rich>
          </c:tx>
          <c:layout/>
          <c:overlay val="0"/>
          <c:spPr>
            <a:noFill/>
            <a:ln>
              <a:noFill/>
            </a:ln>
            <a:effectLst/>
          </c:spPr>
          <c:txPr>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s-ES"/>
            </a:p>
          </c:txPr>
        </c:title>
        <c:numFmt formatCode="General"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12815564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ES"/>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4313408723748"/>
          <c:y val="0.16545031821481312"/>
          <c:w val="0.86268174474959614"/>
          <c:h val="0.66423436577417616"/>
        </c:manualLayout>
      </c:layout>
      <c:scatterChart>
        <c:scatterStyle val="lineMarker"/>
        <c:varyColors val="0"/>
        <c:ser>
          <c:idx val="0"/>
          <c:order val="0"/>
          <c:tx>
            <c:strRef>
              <c:f>Producción_agrícola!$C$13</c:f>
              <c:strCache>
                <c:ptCount val="1"/>
                <c:pt idx="0">
                  <c:v>Y</c:v>
                </c:pt>
              </c:strCache>
            </c:strRef>
          </c:tx>
          <c:spPr>
            <a:ln w="28575">
              <a:noFill/>
            </a:ln>
          </c:spPr>
          <c:marker>
            <c:symbol val="diamond"/>
            <c:size val="5"/>
            <c:spPr>
              <a:solidFill>
                <a:srgbClr val="000080"/>
              </a:solidFill>
              <a:ln>
                <a:solidFill>
                  <a:srgbClr val="000080"/>
                </a:solidFill>
                <a:prstDash val="solid"/>
              </a:ln>
            </c:spPr>
          </c:marker>
          <c:trendline>
            <c:spPr>
              <a:ln w="25400">
                <a:solidFill>
                  <a:srgbClr val="000000"/>
                </a:solidFill>
                <a:prstDash val="solid"/>
              </a:ln>
            </c:spPr>
            <c:trendlineType val="linear"/>
            <c:dispRSqr val="1"/>
            <c:dispEq val="1"/>
            <c:trendlineLbl>
              <c:layout>
                <c:manualLayout>
                  <c:x val="-7.3728939438125793E-2"/>
                  <c:y val="-0.13490529899978718"/>
                </c:manualLayout>
              </c:layout>
              <c:numFmt formatCode="General" sourceLinked="0"/>
              <c:spPr>
                <a:noFill/>
                <a:ln w="25400">
                  <a:noFill/>
                </a:ln>
              </c:spPr>
              <c:txPr>
                <a:bodyPr/>
                <a:lstStyle/>
                <a:p>
                  <a:pPr>
                    <a:defRPr sz="1000" b="0" i="0" u="none" strike="noStrike" baseline="0">
                      <a:solidFill>
                        <a:srgbClr val="000000"/>
                      </a:solidFill>
                      <a:latin typeface="Arial"/>
                      <a:ea typeface="Arial"/>
                      <a:cs typeface="Arial"/>
                    </a:defRPr>
                  </a:pPr>
                  <a:endParaRPr lang="es-ES"/>
                </a:p>
              </c:txPr>
            </c:trendlineLbl>
          </c:trendline>
          <c:trendline>
            <c:spPr>
              <a:ln w="22225">
                <a:solidFill>
                  <a:srgbClr val="C00000"/>
                </a:solidFill>
              </a:ln>
            </c:spPr>
            <c:trendlineType val="poly"/>
            <c:order val="2"/>
            <c:dispRSqr val="1"/>
            <c:dispEq val="1"/>
            <c:trendlineLbl>
              <c:layout>
                <c:manualLayout>
                  <c:x val="-0.30076111597161465"/>
                  <c:y val="-0.23579768745123075"/>
                </c:manualLayout>
              </c:layout>
              <c:numFmt formatCode="General" sourceLinked="0"/>
              <c:spPr>
                <a:ln w="19050">
                  <a:solidFill>
                    <a:srgbClr val="C00000"/>
                  </a:solidFill>
                </a:ln>
              </c:spPr>
            </c:trendlineLbl>
          </c:trendline>
          <c:xVal>
            <c:numRef>
              <c:f>Producción_agrícola!$B$14:$B$20</c:f>
              <c:numCache>
                <c:formatCode>General</c:formatCode>
                <c:ptCount val="7"/>
                <c:pt idx="0">
                  <c:v>1.9</c:v>
                </c:pt>
                <c:pt idx="1">
                  <c:v>2.2000000000000002</c:v>
                </c:pt>
                <c:pt idx="2">
                  <c:v>2.9</c:v>
                </c:pt>
                <c:pt idx="3">
                  <c:v>3.6</c:v>
                </c:pt>
                <c:pt idx="4">
                  <c:v>3.8</c:v>
                </c:pt>
                <c:pt idx="5">
                  <c:v>4.5999999999999996</c:v>
                </c:pt>
                <c:pt idx="6">
                  <c:v>5.5</c:v>
                </c:pt>
              </c:numCache>
            </c:numRef>
          </c:xVal>
          <c:yVal>
            <c:numRef>
              <c:f>Producción_agrícola!$C$14:$C$20</c:f>
              <c:numCache>
                <c:formatCode>General</c:formatCode>
                <c:ptCount val="7"/>
                <c:pt idx="0">
                  <c:v>5.5</c:v>
                </c:pt>
                <c:pt idx="1">
                  <c:v>7.4</c:v>
                </c:pt>
                <c:pt idx="2">
                  <c:v>9.8000000000000007</c:v>
                </c:pt>
                <c:pt idx="3">
                  <c:v>11.6</c:v>
                </c:pt>
                <c:pt idx="4">
                  <c:v>11.6</c:v>
                </c:pt>
                <c:pt idx="5">
                  <c:v>12.2</c:v>
                </c:pt>
                <c:pt idx="6">
                  <c:v>11.2</c:v>
                </c:pt>
              </c:numCache>
            </c:numRef>
          </c:yVal>
          <c:smooth val="0"/>
          <c:extLst>
            <c:ext xmlns:c16="http://schemas.microsoft.com/office/drawing/2014/chart" uri="{C3380CC4-5D6E-409C-BE32-E72D297353CC}">
              <c16:uniqueId val="{00000002-40FF-400A-91ED-5F14FD82509F}"/>
            </c:ext>
          </c:extLst>
        </c:ser>
        <c:dLbls>
          <c:showLegendKey val="0"/>
          <c:showVal val="0"/>
          <c:showCatName val="0"/>
          <c:showSerName val="0"/>
          <c:showPercent val="0"/>
          <c:showBubbleSize val="0"/>
        </c:dLbls>
        <c:axId val="128157952"/>
        <c:axId val="128158528"/>
      </c:scatterChart>
      <c:valAx>
        <c:axId val="128157952"/>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Gastos de producción (millones €)</a:t>
                </a:r>
              </a:p>
            </c:rich>
          </c:tx>
          <c:layout>
            <c:manualLayout>
              <c:xMode val="edge"/>
              <c:yMode val="edge"/>
              <c:x val="0.35595045772751749"/>
              <c:y val="0.9107563482275559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28158528"/>
        <c:crosses val="autoZero"/>
        <c:crossBetween val="midCat"/>
      </c:valAx>
      <c:valAx>
        <c:axId val="128158528"/>
        <c:scaling>
          <c:orientation val="minMax"/>
          <c:min val="1"/>
        </c:scaling>
        <c:delete val="0"/>
        <c:axPos val="l"/>
        <c:majorGridlines>
          <c:spPr>
            <a:ln w="3175">
              <a:solidFill>
                <a:srgbClr val="000000"/>
              </a:solidFill>
              <a:prstDash val="sysDash"/>
            </a:ln>
          </c:spPr>
        </c:majorGridlines>
        <c:title>
          <c:tx>
            <c:rich>
              <a:bodyPr/>
              <a:lstStyle/>
              <a:p>
                <a:pPr>
                  <a:defRPr sz="1000" b="1" i="0" u="none" strike="noStrike" baseline="0">
                    <a:solidFill>
                      <a:srgbClr val="000000"/>
                    </a:solidFill>
                    <a:latin typeface="Arial"/>
                    <a:ea typeface="Arial"/>
                    <a:cs typeface="Arial"/>
                  </a:defRPr>
                </a:pPr>
                <a:r>
                  <a:rPr lang="en-US"/>
                  <a:t>Ingresos totales (millones €)</a:t>
                </a:r>
              </a:p>
            </c:rich>
          </c:tx>
          <c:layout>
            <c:manualLayout>
              <c:xMode val="edge"/>
              <c:yMode val="edge"/>
              <c:x val="2.2617124394184167E-2"/>
              <c:y val="0.2673618568763241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28157952"/>
        <c:crosses val="autoZero"/>
        <c:crossBetween val="midCat"/>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ES" sz="1200"/>
              <a:t>Ajustes de regresión para</a:t>
            </a:r>
            <a:r>
              <a:rPr lang="es-ES" sz="1200" baseline="0"/>
              <a:t> el % de defectuosas en función de la experiencia del operario</a:t>
            </a:r>
            <a:endParaRPr lang="es-ES" sz="1200"/>
          </a:p>
        </c:rich>
      </c:tx>
      <c:layout/>
      <c:overlay val="0"/>
    </c:title>
    <c:autoTitleDeleted val="0"/>
    <c:plotArea>
      <c:layout/>
      <c:scatterChart>
        <c:scatterStyle val="lineMarker"/>
        <c:varyColors val="0"/>
        <c:ser>
          <c:idx val="0"/>
          <c:order val="0"/>
          <c:spPr>
            <a:ln w="28575">
              <a:noFill/>
            </a:ln>
          </c:spPr>
          <c:trendline>
            <c:spPr>
              <a:ln w="19050">
                <a:solidFill>
                  <a:schemeClr val="accent3">
                    <a:lumMod val="75000"/>
                  </a:schemeClr>
                </a:solidFill>
              </a:ln>
            </c:spPr>
            <c:trendlineType val="linear"/>
            <c:dispRSqr val="1"/>
            <c:dispEq val="1"/>
            <c:trendlineLbl>
              <c:layout>
                <c:manualLayout>
                  <c:x val="-5.9632057296029488E-2"/>
                  <c:y val="-0.25481389532190829"/>
                </c:manualLayout>
              </c:layout>
              <c:numFmt formatCode="General" sourceLinked="0"/>
              <c:txPr>
                <a:bodyPr/>
                <a:lstStyle/>
                <a:p>
                  <a:pPr>
                    <a:defRPr sz="1100">
                      <a:solidFill>
                        <a:schemeClr val="accent3">
                          <a:lumMod val="75000"/>
                        </a:schemeClr>
                      </a:solidFill>
                    </a:defRPr>
                  </a:pPr>
                  <a:endParaRPr lang="es-ES"/>
                </a:p>
              </c:txPr>
            </c:trendlineLbl>
          </c:trendline>
          <c:trendline>
            <c:spPr>
              <a:ln w="19050">
                <a:solidFill>
                  <a:srgbClr val="FF0000"/>
                </a:solidFill>
              </a:ln>
            </c:spPr>
            <c:trendlineType val="power"/>
            <c:dispRSqr val="1"/>
            <c:dispEq val="1"/>
            <c:trendlineLbl>
              <c:layout>
                <c:manualLayout>
                  <c:x val="-0.38425971687049759"/>
                  <c:y val="-0.35482278832792957"/>
                </c:manualLayout>
              </c:layout>
              <c:numFmt formatCode="General" sourceLinked="0"/>
              <c:txPr>
                <a:bodyPr/>
                <a:lstStyle/>
                <a:p>
                  <a:pPr>
                    <a:defRPr sz="1100">
                      <a:solidFill>
                        <a:srgbClr val="FF0000"/>
                      </a:solidFill>
                    </a:defRPr>
                  </a:pPr>
                  <a:endParaRPr lang="es-ES"/>
                </a:p>
              </c:txPr>
            </c:trendlineLbl>
          </c:trendline>
          <c:xVal>
            <c:numRef>
              <c:f>Piezas!$B$17:$B$66</c:f>
              <c:numCache>
                <c:formatCode>0</c:formatCode>
                <c:ptCount val="50"/>
                <c:pt idx="0">
                  <c:v>175</c:v>
                </c:pt>
                <c:pt idx="1">
                  <c:v>50</c:v>
                </c:pt>
                <c:pt idx="2">
                  <c:v>168</c:v>
                </c:pt>
                <c:pt idx="3">
                  <c:v>183</c:v>
                </c:pt>
                <c:pt idx="4">
                  <c:v>30</c:v>
                </c:pt>
                <c:pt idx="5">
                  <c:v>78</c:v>
                </c:pt>
                <c:pt idx="6">
                  <c:v>69</c:v>
                </c:pt>
                <c:pt idx="7">
                  <c:v>179</c:v>
                </c:pt>
                <c:pt idx="8">
                  <c:v>65</c:v>
                </c:pt>
                <c:pt idx="9">
                  <c:v>7</c:v>
                </c:pt>
                <c:pt idx="10">
                  <c:v>26</c:v>
                </c:pt>
                <c:pt idx="11">
                  <c:v>9</c:v>
                </c:pt>
                <c:pt idx="12">
                  <c:v>199</c:v>
                </c:pt>
                <c:pt idx="13">
                  <c:v>66</c:v>
                </c:pt>
                <c:pt idx="14">
                  <c:v>182</c:v>
                </c:pt>
                <c:pt idx="15">
                  <c:v>7</c:v>
                </c:pt>
                <c:pt idx="16">
                  <c:v>130</c:v>
                </c:pt>
                <c:pt idx="17">
                  <c:v>60</c:v>
                </c:pt>
                <c:pt idx="18">
                  <c:v>158</c:v>
                </c:pt>
                <c:pt idx="19">
                  <c:v>189</c:v>
                </c:pt>
                <c:pt idx="20">
                  <c:v>159</c:v>
                </c:pt>
                <c:pt idx="21">
                  <c:v>80</c:v>
                </c:pt>
                <c:pt idx="22">
                  <c:v>13</c:v>
                </c:pt>
                <c:pt idx="23">
                  <c:v>146</c:v>
                </c:pt>
                <c:pt idx="24">
                  <c:v>6</c:v>
                </c:pt>
                <c:pt idx="25">
                  <c:v>15</c:v>
                </c:pt>
                <c:pt idx="26">
                  <c:v>121</c:v>
                </c:pt>
                <c:pt idx="27">
                  <c:v>172</c:v>
                </c:pt>
                <c:pt idx="28">
                  <c:v>130</c:v>
                </c:pt>
                <c:pt idx="29">
                  <c:v>198</c:v>
                </c:pt>
                <c:pt idx="30">
                  <c:v>68</c:v>
                </c:pt>
                <c:pt idx="31">
                  <c:v>74</c:v>
                </c:pt>
                <c:pt idx="32">
                  <c:v>67</c:v>
                </c:pt>
                <c:pt idx="33">
                  <c:v>10</c:v>
                </c:pt>
                <c:pt idx="34">
                  <c:v>36</c:v>
                </c:pt>
                <c:pt idx="35">
                  <c:v>177</c:v>
                </c:pt>
                <c:pt idx="36">
                  <c:v>143</c:v>
                </c:pt>
                <c:pt idx="37">
                  <c:v>172</c:v>
                </c:pt>
                <c:pt idx="38">
                  <c:v>11</c:v>
                </c:pt>
                <c:pt idx="39">
                  <c:v>90</c:v>
                </c:pt>
                <c:pt idx="40">
                  <c:v>73</c:v>
                </c:pt>
                <c:pt idx="41">
                  <c:v>66</c:v>
                </c:pt>
                <c:pt idx="42">
                  <c:v>7</c:v>
                </c:pt>
                <c:pt idx="43">
                  <c:v>149</c:v>
                </c:pt>
                <c:pt idx="44">
                  <c:v>24</c:v>
                </c:pt>
                <c:pt idx="45">
                  <c:v>31</c:v>
                </c:pt>
                <c:pt idx="46">
                  <c:v>169</c:v>
                </c:pt>
                <c:pt idx="47">
                  <c:v>37</c:v>
                </c:pt>
                <c:pt idx="48">
                  <c:v>13</c:v>
                </c:pt>
                <c:pt idx="49">
                  <c:v>5</c:v>
                </c:pt>
              </c:numCache>
            </c:numRef>
          </c:xVal>
          <c:yVal>
            <c:numRef>
              <c:f>Piezas!$C$17:$C$66</c:f>
              <c:numCache>
                <c:formatCode>0.00</c:formatCode>
                <c:ptCount val="50"/>
                <c:pt idx="0">
                  <c:v>1.2419300564485001</c:v>
                </c:pt>
                <c:pt idx="1">
                  <c:v>2.4596031111569499</c:v>
                </c:pt>
                <c:pt idx="2">
                  <c:v>1.2754937178381829</c:v>
                </c:pt>
                <c:pt idx="3">
                  <c:v>1.2502372500360879</c:v>
                </c:pt>
                <c:pt idx="4">
                  <c:v>3.2112705431535611</c:v>
                </c:pt>
                <c:pt idx="5">
                  <c:v>2.3009758908928251</c:v>
                </c:pt>
                <c:pt idx="6">
                  <c:v>1.967309093602797</c:v>
                </c:pt>
                <c:pt idx="7">
                  <c:v>1.2712491503214047</c:v>
                </c:pt>
                <c:pt idx="8">
                  <c:v>1.8838797239649627</c:v>
                </c:pt>
                <c:pt idx="9">
                  <c:v>12.182493960703473</c:v>
                </c:pt>
                <c:pt idx="10">
                  <c:v>3.7061737122101981</c:v>
                </c:pt>
                <c:pt idx="11">
                  <c:v>13.022344200125602</c:v>
                </c:pt>
                <c:pt idx="12">
                  <c:v>1.2544116610226577</c:v>
                </c:pt>
                <c:pt idx="13">
                  <c:v>2.0612927475561325</c:v>
                </c:pt>
                <c:pt idx="14">
                  <c:v>1.2460767305873808</c:v>
                </c:pt>
                <c:pt idx="15">
                  <c:v>12.764484508307035</c:v>
                </c:pt>
                <c:pt idx="16">
                  <c:v>1.2586000099294778</c:v>
                </c:pt>
                <c:pt idx="17">
                  <c:v>1.8838797239649627</c:v>
                </c:pt>
                <c:pt idx="18">
                  <c:v>1.1932332824015675</c:v>
                </c:pt>
                <c:pt idx="19">
                  <c:v>1.2502372500360879</c:v>
                </c:pt>
                <c:pt idx="20">
                  <c:v>1.2712491503214047</c:v>
                </c:pt>
                <c:pt idx="21">
                  <c:v>1.3143382845755833</c:v>
                </c:pt>
                <c:pt idx="22">
                  <c:v>6.6858944422792685</c:v>
                </c:pt>
                <c:pt idx="23">
                  <c:v>1.2132871551734909</c:v>
                </c:pt>
                <c:pt idx="24">
                  <c:v>9.6471898594419354</c:v>
                </c:pt>
                <c:pt idx="25">
                  <c:v>7.3890560989306504</c:v>
                </c:pt>
                <c:pt idx="26">
                  <c:v>1.2797524575205039</c:v>
                </c:pt>
                <c:pt idx="27">
                  <c:v>1.1426308117957227</c:v>
                </c:pt>
                <c:pt idx="28">
                  <c:v>1.3319801460865273</c:v>
                </c:pt>
                <c:pt idx="29">
                  <c:v>1.1579679093880269</c:v>
                </c:pt>
                <c:pt idx="30">
                  <c:v>1.5168967963882134</c:v>
                </c:pt>
                <c:pt idx="31">
                  <c:v>2.0475965007884529</c:v>
                </c:pt>
                <c:pt idx="32">
                  <c:v>1.7623826407286585</c:v>
                </c:pt>
                <c:pt idx="33">
                  <c:v>5.2944900504700296</c:v>
                </c:pt>
                <c:pt idx="34">
                  <c:v>3.2112705431535611</c:v>
                </c:pt>
                <c:pt idx="35">
                  <c:v>1.2336780599567432</c:v>
                </c:pt>
                <c:pt idx="36">
                  <c:v>1.3453667691074913</c:v>
                </c:pt>
                <c:pt idx="37">
                  <c:v>1.2336780599567432</c:v>
                </c:pt>
                <c:pt idx="38">
                  <c:v>6.0496474644129465</c:v>
                </c:pt>
                <c:pt idx="39">
                  <c:v>1.3588879299265091</c:v>
                </c:pt>
                <c:pt idx="40">
                  <c:v>1.3634251141321778</c:v>
                </c:pt>
                <c:pt idx="41">
                  <c:v>2.4596031111569499</c:v>
                </c:pt>
                <c:pt idx="42">
                  <c:v>12.595420976379947</c:v>
                </c:pt>
                <c:pt idx="43">
                  <c:v>1.2092495976572515</c:v>
                </c:pt>
                <c:pt idx="44">
                  <c:v>4.1926514300411171</c:v>
                </c:pt>
                <c:pt idx="45">
                  <c:v>4.8066481937751782</c:v>
                </c:pt>
                <c:pt idx="46">
                  <c:v>1.2092495976572515</c:v>
                </c:pt>
                <c:pt idx="47">
                  <c:v>5.1209160206564004</c:v>
                </c:pt>
                <c:pt idx="48">
                  <c:v>5.8513164298203435</c:v>
                </c:pt>
                <c:pt idx="49">
                  <c:v>17.002039940094019</c:v>
                </c:pt>
              </c:numCache>
            </c:numRef>
          </c:yVal>
          <c:smooth val="0"/>
          <c:extLst>
            <c:ext xmlns:c16="http://schemas.microsoft.com/office/drawing/2014/chart" uri="{C3380CC4-5D6E-409C-BE32-E72D297353CC}">
              <c16:uniqueId val="{00000002-67DD-4377-8B4B-30B175179D80}"/>
            </c:ext>
          </c:extLst>
        </c:ser>
        <c:dLbls>
          <c:showLegendKey val="0"/>
          <c:showVal val="0"/>
          <c:showCatName val="0"/>
          <c:showSerName val="0"/>
          <c:showPercent val="0"/>
          <c:showBubbleSize val="0"/>
        </c:dLbls>
        <c:axId val="128160256"/>
        <c:axId val="128160832"/>
      </c:scatterChart>
      <c:valAx>
        <c:axId val="128160256"/>
        <c:scaling>
          <c:orientation val="minMax"/>
        </c:scaling>
        <c:delete val="0"/>
        <c:axPos val="b"/>
        <c:title>
          <c:tx>
            <c:rich>
              <a:bodyPr/>
              <a:lstStyle/>
              <a:p>
                <a:pPr>
                  <a:defRPr/>
                </a:pPr>
                <a:r>
                  <a:rPr lang="en-US"/>
                  <a:t>Experiencia (días)</a:t>
                </a:r>
              </a:p>
            </c:rich>
          </c:tx>
          <c:layout>
            <c:manualLayout>
              <c:xMode val="edge"/>
              <c:yMode val="edge"/>
              <c:x val="0.44729986876640421"/>
              <c:y val="0.90645815106445027"/>
            </c:manualLayout>
          </c:layout>
          <c:overlay val="0"/>
        </c:title>
        <c:numFmt formatCode="0" sourceLinked="1"/>
        <c:majorTickMark val="out"/>
        <c:minorTickMark val="none"/>
        <c:tickLblPos val="nextTo"/>
        <c:crossAx val="128160832"/>
        <c:crosses val="autoZero"/>
        <c:crossBetween val="midCat"/>
      </c:valAx>
      <c:valAx>
        <c:axId val="128160832"/>
        <c:scaling>
          <c:orientation val="minMax"/>
        </c:scaling>
        <c:delete val="0"/>
        <c:axPos val="l"/>
        <c:majorGridlines/>
        <c:title>
          <c:tx>
            <c:rich>
              <a:bodyPr rot="-5400000" vert="horz"/>
              <a:lstStyle/>
              <a:p>
                <a:pPr>
                  <a:defRPr/>
                </a:pPr>
                <a:r>
                  <a:rPr lang="en-US"/>
                  <a:t>% piezas defectuosas</a:t>
                </a:r>
              </a:p>
            </c:rich>
          </c:tx>
          <c:layout/>
          <c:overlay val="0"/>
        </c:title>
        <c:numFmt formatCode="0.00" sourceLinked="1"/>
        <c:majorTickMark val="out"/>
        <c:minorTickMark val="none"/>
        <c:tickLblPos val="nextTo"/>
        <c:crossAx val="128160256"/>
        <c:crosses val="autoZero"/>
        <c:crossBetween val="midCat"/>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ES"/>
              <a:t>Ajuste de regresión del gasto como función del ingreso de unas familias</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ES"/>
        </a:p>
      </c:txPr>
    </c:title>
    <c:autoTitleDeleted val="0"/>
    <c:plotArea>
      <c:layout/>
      <c:scatterChart>
        <c:scatterStyle val="lineMarker"/>
        <c:varyColors val="0"/>
        <c:ser>
          <c:idx val="0"/>
          <c:order val="0"/>
          <c:spPr>
            <a:ln w="25400" cap="rnd">
              <a:noFill/>
              <a:round/>
            </a:ln>
            <a:effectLst>
              <a:outerShdw blurRad="40000" dist="23000" dir="5400000" rotWithShape="0">
                <a:srgbClr val="000000">
                  <a:alpha val="35000"/>
                </a:srgbClr>
              </a:outerShdw>
            </a:effectLst>
          </c:spPr>
          <c:marker>
            <c:symbol val="circle"/>
            <c:size val="5"/>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9525">
                <a:solidFill>
                  <a:schemeClr val="accent1"/>
                </a:solidFill>
                <a:round/>
              </a:ln>
              <a:effectLst>
                <a:outerShdw blurRad="40000" dist="23000" dir="5400000" rotWithShape="0">
                  <a:srgbClr val="000000">
                    <a:alpha val="35000"/>
                  </a:srgbClr>
                </a:outerShdw>
              </a:effectLst>
            </c:spPr>
          </c:marker>
          <c:xVal>
            <c:numRef>
              <c:f>Familias!$B$14:$B$23</c:f>
              <c:numCache>
                <c:formatCode>General</c:formatCode>
                <c:ptCount val="10"/>
                <c:pt idx="0">
                  <c:v>1120</c:v>
                </c:pt>
                <c:pt idx="1">
                  <c:v>1200</c:v>
                </c:pt>
                <c:pt idx="2">
                  <c:v>1310</c:v>
                </c:pt>
                <c:pt idx="3">
                  <c:v>1470</c:v>
                </c:pt>
                <c:pt idx="4">
                  <c:v>1500</c:v>
                </c:pt>
                <c:pt idx="5">
                  <c:v>1750</c:v>
                </c:pt>
                <c:pt idx="6">
                  <c:v>1400</c:v>
                </c:pt>
                <c:pt idx="7">
                  <c:v>1700</c:v>
                </c:pt>
                <c:pt idx="8">
                  <c:v>1600</c:v>
                </c:pt>
                <c:pt idx="9">
                  <c:v>1650</c:v>
                </c:pt>
              </c:numCache>
            </c:numRef>
          </c:xVal>
          <c:yVal>
            <c:numRef>
              <c:f>Familias!$C$14:$C$23</c:f>
              <c:numCache>
                <c:formatCode>0</c:formatCode>
                <c:ptCount val="10"/>
                <c:pt idx="0">
                  <c:v>630</c:v>
                </c:pt>
                <c:pt idx="1">
                  <c:v>730</c:v>
                </c:pt>
                <c:pt idx="2">
                  <c:v>800</c:v>
                </c:pt>
                <c:pt idx="3">
                  <c:v>900</c:v>
                </c:pt>
                <c:pt idx="4">
                  <c:v>900</c:v>
                </c:pt>
                <c:pt idx="5">
                  <c:v>1000</c:v>
                </c:pt>
                <c:pt idx="6">
                  <c:v>880</c:v>
                </c:pt>
                <c:pt idx="7">
                  <c:v>965</c:v>
                </c:pt>
                <c:pt idx="8">
                  <c:v>935</c:v>
                </c:pt>
                <c:pt idx="9">
                  <c:v>1000</c:v>
                </c:pt>
              </c:numCache>
            </c:numRef>
          </c:yVal>
          <c:smooth val="0"/>
          <c:extLst>
            <c:ext xmlns:c16="http://schemas.microsoft.com/office/drawing/2014/chart" uri="{C3380CC4-5D6E-409C-BE32-E72D297353CC}">
              <c16:uniqueId val="{00000000-47BD-419B-9048-096EAAA34BCD}"/>
            </c:ext>
          </c:extLst>
        </c:ser>
        <c:ser>
          <c:idx val="1"/>
          <c:order val="1"/>
          <c:spPr>
            <a:ln w="9525" cap="rnd">
              <a:solidFill>
                <a:schemeClr val="accent2"/>
              </a:solidFill>
              <a:round/>
            </a:ln>
            <a:effectLst>
              <a:outerShdw blurRad="40000" dist="23000" dir="5400000" rotWithShape="0">
                <a:srgbClr val="000000">
                  <a:alpha val="35000"/>
                </a:srgbClr>
              </a:outerShdw>
            </a:effectLst>
          </c:spPr>
          <c:marker>
            <c:symbol val="none"/>
          </c:marker>
          <c:dPt>
            <c:idx val="5"/>
            <c:marker>
              <c:symbol val="none"/>
            </c:marker>
            <c:bubble3D val="0"/>
            <c:extLst>
              <c:ext xmlns:c16="http://schemas.microsoft.com/office/drawing/2014/chart" uri="{C3380CC4-5D6E-409C-BE32-E72D297353CC}">
                <c16:uniqueId val="{00000002-47BD-419B-9048-096EAAA34BCD}"/>
              </c:ext>
            </c:extLst>
          </c:dPt>
          <c:xVal>
            <c:numRef>
              <c:f>Familias!$B$14:$B$23</c:f>
              <c:numCache>
                <c:formatCode>General</c:formatCode>
                <c:ptCount val="10"/>
                <c:pt idx="0">
                  <c:v>1120</c:v>
                </c:pt>
                <c:pt idx="1">
                  <c:v>1200</c:v>
                </c:pt>
                <c:pt idx="2">
                  <c:v>1310</c:v>
                </c:pt>
                <c:pt idx="3">
                  <c:v>1470</c:v>
                </c:pt>
                <c:pt idx="4">
                  <c:v>1500</c:v>
                </c:pt>
                <c:pt idx="5">
                  <c:v>1750</c:v>
                </c:pt>
                <c:pt idx="6">
                  <c:v>1400</c:v>
                </c:pt>
                <c:pt idx="7">
                  <c:v>1700</c:v>
                </c:pt>
                <c:pt idx="8">
                  <c:v>1600</c:v>
                </c:pt>
                <c:pt idx="9">
                  <c:v>1650</c:v>
                </c:pt>
              </c:numCache>
            </c:numRef>
          </c:xVal>
          <c:yVal>
            <c:numRef>
              <c:f>Familias!$H$14:$H$23</c:f>
              <c:numCache>
                <c:formatCode>0.00</c:formatCode>
                <c:ptCount val="10"/>
                <c:pt idx="0">
                  <c:v>653.8527745558896</c:v>
                </c:pt>
                <c:pt idx="1">
                  <c:v>719.79901867549165</c:v>
                </c:pt>
                <c:pt idx="2">
                  <c:v>797.32361099929881</c:v>
                </c:pt>
                <c:pt idx="3">
                  <c:v>889.37507498304024</c:v>
                </c:pt>
                <c:pt idx="4">
                  <c:v>904.4485022103778</c:v>
                </c:pt>
                <c:pt idx="5">
                  <c:v>1009.9624928017413</c:v>
                </c:pt>
                <c:pt idx="6">
                  <c:v>851.69150691469611</c:v>
                </c:pt>
                <c:pt idx="7">
                  <c:v>991.34237681503021</c:v>
                </c:pt>
                <c:pt idx="8">
                  <c:v>950.61087309409936</c:v>
                </c:pt>
                <c:pt idx="9">
                  <c:v>971.59376895033643</c:v>
                </c:pt>
              </c:numCache>
            </c:numRef>
          </c:yVal>
          <c:smooth val="0"/>
          <c:extLst>
            <c:ext xmlns:c16="http://schemas.microsoft.com/office/drawing/2014/chart" uri="{C3380CC4-5D6E-409C-BE32-E72D297353CC}">
              <c16:uniqueId val="{00000003-47BD-419B-9048-096EAAA34BCD}"/>
            </c:ext>
          </c:extLst>
        </c:ser>
        <c:dLbls>
          <c:showLegendKey val="0"/>
          <c:showVal val="0"/>
          <c:showCatName val="0"/>
          <c:showSerName val="0"/>
          <c:showPercent val="0"/>
          <c:showBubbleSize val="0"/>
        </c:dLbls>
        <c:axId val="128162560"/>
        <c:axId val="128163136"/>
      </c:scatterChart>
      <c:valAx>
        <c:axId val="128162560"/>
        <c:scaling>
          <c:orientation val="minMax"/>
          <c:min val="1000"/>
        </c:scaling>
        <c:delete val="0"/>
        <c:axPos val="b"/>
        <c:majorGridlines>
          <c:spPr>
            <a:ln w="9525" cap="flat" cmpd="sng" algn="ctr">
              <a:solidFill>
                <a:schemeClr val="tx2">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US"/>
                  <a:t>Ingresos mensuales (X)</a:t>
                </a:r>
              </a:p>
            </c:rich>
          </c:tx>
          <c:layout/>
          <c:overlay val="0"/>
          <c:spPr>
            <a:noFill/>
            <a:ln>
              <a:noFill/>
            </a:ln>
            <a:effectLst/>
          </c:spPr>
          <c:txPr>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s-ES"/>
            </a:p>
          </c:txPr>
        </c:title>
        <c:numFmt formatCode="General"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128163136"/>
        <c:crosses val="autoZero"/>
        <c:crossBetween val="midCat"/>
      </c:valAx>
      <c:valAx>
        <c:axId val="128163136"/>
        <c:scaling>
          <c:orientation val="minMax"/>
          <c:min val="500"/>
        </c:scaling>
        <c:delete val="0"/>
        <c:axPos val="l"/>
        <c:majorGridlines>
          <c:spPr>
            <a:ln w="9525" cap="flat" cmpd="sng" algn="ctr">
              <a:solidFill>
                <a:schemeClr val="tx2">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US"/>
                  <a:t>Gastos mensuales (Y)</a:t>
                </a:r>
              </a:p>
            </c:rich>
          </c:tx>
          <c:layout/>
          <c:overlay val="0"/>
          <c:spPr>
            <a:noFill/>
            <a:ln>
              <a:noFill/>
            </a:ln>
            <a:effectLst/>
          </c:spPr>
          <c:txPr>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s-ES"/>
            </a:p>
          </c:txPr>
        </c:title>
        <c:numFmt formatCode="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12816256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9</xdr:col>
      <xdr:colOff>161924</xdr:colOff>
      <xdr:row>8</xdr:row>
      <xdr:rowOff>166686</xdr:rowOff>
    </xdr:from>
    <xdr:to>
      <xdr:col>16</xdr:col>
      <xdr:colOff>514350</xdr:colOff>
      <xdr:row>24</xdr:row>
      <xdr:rowOff>66675</xdr:rowOff>
    </xdr:to>
    <xdr:graphicFrame macro="">
      <xdr:nvGraphicFramePr>
        <xdr:cNvPr id="2" name="1 Gráfico">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44450</xdr:colOff>
      <xdr:row>0</xdr:row>
      <xdr:rowOff>180975</xdr:rowOff>
    </xdr:from>
    <xdr:to>
      <xdr:col>14</xdr:col>
      <xdr:colOff>720725</xdr:colOff>
      <xdr:row>15</xdr:row>
      <xdr:rowOff>168275</xdr:rowOff>
    </xdr:to>
    <xdr:graphicFrame macro="">
      <xdr:nvGraphicFramePr>
        <xdr:cNvPr id="2" name="1 Gráfico">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22</xdr:row>
      <xdr:rowOff>187325</xdr:rowOff>
    </xdr:from>
    <xdr:to>
      <xdr:col>5</xdr:col>
      <xdr:colOff>1009650</xdr:colOff>
      <xdr:row>37</xdr:row>
      <xdr:rowOff>136525</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622300" y="4587875"/>
          <a:ext cx="4454525" cy="29495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ES_tradnl" sz="1100" b="1">
              <a:solidFill>
                <a:schemeClr val="dk1"/>
              </a:solidFill>
              <a:effectLst/>
              <a:latin typeface="+mn-lt"/>
              <a:ea typeface="+mn-ea"/>
              <a:cs typeface="+mn-cs"/>
            </a:rPr>
            <a:t>A)</a:t>
          </a:r>
          <a:r>
            <a:rPr lang="es-ES_tradnl" sz="1100" b="1" baseline="0">
              <a:solidFill>
                <a:schemeClr val="dk1"/>
              </a:solidFill>
              <a:effectLst/>
              <a:latin typeface="+mn-lt"/>
              <a:ea typeface="+mn-ea"/>
              <a:cs typeface="+mn-cs"/>
            </a:rPr>
            <a:t> </a:t>
          </a:r>
          <a:r>
            <a:rPr lang="es-ES_tradnl" sz="1100" b="0" baseline="0">
              <a:solidFill>
                <a:schemeClr val="dk1"/>
              </a:solidFill>
              <a:effectLst/>
              <a:latin typeface="+mn-lt"/>
              <a:ea typeface="+mn-ea"/>
              <a:cs typeface="+mn-cs"/>
            </a:rPr>
            <a:t>En el gráfico se aprecia que existe una relación inversa entre las variables y que es de tipo no lineal.</a:t>
          </a:r>
          <a:endParaRPr lang="es-ES_tradnl"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s-ES_tradnl"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s-ES_tradnl" sz="1100" b="1">
              <a:solidFill>
                <a:schemeClr val="dk1"/>
              </a:solidFill>
              <a:effectLst/>
              <a:latin typeface="+mn-lt"/>
              <a:ea typeface="+mn-ea"/>
              <a:cs typeface="+mn-cs"/>
            </a:rPr>
            <a:t>B) </a:t>
          </a:r>
          <a:r>
            <a:rPr lang="es-ES_tradnl" sz="1100">
              <a:solidFill>
                <a:schemeClr val="dk1"/>
              </a:solidFill>
              <a:effectLst/>
              <a:latin typeface="+mn-lt"/>
              <a:ea typeface="+mn-ea"/>
              <a:cs typeface="+mn-cs"/>
            </a:rPr>
            <a:t>Y = 483,78*e^-2,012X.</a:t>
          </a:r>
          <a:br>
            <a:rPr lang="es-ES_tradnl" sz="1100">
              <a:solidFill>
                <a:schemeClr val="dk1"/>
              </a:solidFill>
              <a:effectLst/>
              <a:latin typeface="+mn-lt"/>
              <a:ea typeface="+mn-ea"/>
              <a:cs typeface="+mn-cs"/>
            </a:rPr>
          </a:br>
          <a:r>
            <a:rPr lang="es-ES" sz="1100">
              <a:solidFill>
                <a:schemeClr val="dk1"/>
              </a:solidFill>
              <a:effectLst/>
              <a:latin typeface="+mn-lt"/>
              <a:ea typeface="+mn-ea"/>
              <a:cs typeface="+mn-cs"/>
            </a:rPr>
            <a:t>483,78 sería una predicción del número de botellas vendidas si el precio de venta fuera 0. No tiene, por tanto, sentido económico. Por otra parte, el incremento del precio de las botellas en 0,1€ provocaría un decrecimiento en las ventas de un 20,12%.  </a:t>
          </a:r>
          <a:endParaRPr lang="es-ES_tradnl"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ES_tradnl" sz="1100" b="1">
              <a:solidFill>
                <a:schemeClr val="dk1"/>
              </a:solidFill>
              <a:effectLst/>
              <a:latin typeface="+mn-lt"/>
              <a:ea typeface="+mn-ea"/>
              <a:cs typeface="+mn-cs"/>
            </a:rPr>
            <a:t>C)</a:t>
          </a:r>
          <a:r>
            <a:rPr lang="es-ES_tradnl" sz="1100" b="1" baseline="0">
              <a:solidFill>
                <a:schemeClr val="dk1"/>
              </a:solidFill>
              <a:effectLst/>
              <a:latin typeface="+mn-lt"/>
              <a:ea typeface="+mn-ea"/>
              <a:cs typeface="+mn-cs"/>
            </a:rPr>
            <a:t> </a:t>
          </a:r>
          <a:r>
            <a:rPr lang="es-ES_tradnl" sz="1100">
              <a:solidFill>
                <a:schemeClr val="dk1"/>
              </a:solidFill>
              <a:effectLst/>
              <a:latin typeface="+mn-lt"/>
              <a:ea typeface="+mn-ea"/>
              <a:cs typeface="+mn-cs"/>
            </a:rPr>
            <a:t>R^2 = 0,9854. El ajuste es muy bueno.</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r>
            <a:rPr lang="es-ES" sz="1100" b="1">
              <a:solidFill>
                <a:schemeClr val="dk1"/>
              </a:solidFill>
              <a:effectLst/>
              <a:latin typeface="+mn-lt"/>
              <a:ea typeface="+mn-ea"/>
              <a:cs typeface="+mn-cs"/>
            </a:rPr>
            <a:t>D) </a:t>
          </a:r>
          <a:r>
            <a:rPr lang="es-ES_tradnl" sz="1100">
              <a:solidFill>
                <a:schemeClr val="dk1"/>
              </a:solidFill>
              <a:effectLst/>
              <a:latin typeface="+mn-lt"/>
              <a:ea typeface="+mn-ea"/>
              <a:cs typeface="+mn-cs"/>
            </a:rPr>
            <a:t>97 botellas y es fiable porque la bondad de ajuste es buena y se trata de una interpolación.</a:t>
          </a:r>
        </a:p>
        <a:p>
          <a:endParaRPr lang="es-ES_tradnl" sz="1100">
            <a:solidFill>
              <a:schemeClr val="dk1"/>
            </a:solidFill>
            <a:effectLst/>
            <a:latin typeface="+mn-lt"/>
            <a:ea typeface="+mn-ea"/>
            <a:cs typeface="+mn-cs"/>
          </a:endParaRPr>
        </a:p>
        <a:p>
          <a:r>
            <a:rPr lang="es-ES_tradnl" sz="1100" b="1">
              <a:solidFill>
                <a:schemeClr val="dk1"/>
              </a:solidFill>
              <a:effectLst/>
              <a:latin typeface="+mn-lt"/>
              <a:ea typeface="+mn-ea"/>
              <a:cs typeface="+mn-cs"/>
            </a:rPr>
            <a:t>E) </a:t>
          </a:r>
          <a:r>
            <a:rPr lang="es-ES_tradnl" sz="1100">
              <a:solidFill>
                <a:schemeClr val="dk1"/>
              </a:solidFill>
              <a:effectLst/>
              <a:latin typeface="+mn-lt"/>
              <a:ea typeface="+mn-ea"/>
              <a:cs typeface="+mn-cs"/>
            </a:rPr>
            <a:t>1 botella y no es fiable porque se trata de una extrapolación.</a:t>
          </a:r>
          <a:endParaRPr lang="en-US" sz="1100">
            <a:solidFill>
              <a:schemeClr val="dk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142875</xdr:colOff>
      <xdr:row>27</xdr:row>
      <xdr:rowOff>71437</xdr:rowOff>
    </xdr:from>
    <xdr:to>
      <xdr:col>7</xdr:col>
      <xdr:colOff>28575</xdr:colOff>
      <xdr:row>41</xdr:row>
      <xdr:rowOff>14287</xdr:rowOff>
    </xdr:to>
    <xdr:graphicFrame macro="">
      <xdr:nvGraphicFramePr>
        <xdr:cNvPr id="2" name="3 Gráfico">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161926</xdr:colOff>
      <xdr:row>0</xdr:row>
      <xdr:rowOff>95250</xdr:rowOff>
    </xdr:from>
    <xdr:to>
      <xdr:col>11</xdr:col>
      <xdr:colOff>457201</xdr:colOff>
      <xdr:row>10</xdr:row>
      <xdr:rowOff>133350</xdr:rowOff>
    </xdr:to>
    <xdr:sp macro="" textlink="">
      <xdr:nvSpPr>
        <xdr:cNvPr id="3" name="Rectángulo 2"/>
        <xdr:cNvSpPr/>
      </xdr:nvSpPr>
      <xdr:spPr>
        <a:xfrm>
          <a:off x="161926" y="95250"/>
          <a:ext cx="9791700" cy="2038350"/>
        </a:xfrm>
        <a:prstGeom prst="rect">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lvl="0">
            <a:spcBef>
              <a:spcPts val="600"/>
            </a:spcBef>
          </a:pPr>
          <a:r>
            <a:rPr kumimoji="0" lang="es-ES" sz="1400" b="0" i="0" u="none" strike="noStrike" kern="0" cap="none" spc="0" normalizeH="0" baseline="0">
              <a:ln>
                <a:noFill/>
              </a:ln>
              <a:solidFill>
                <a:sysClr val="window" lastClr="FFFFFF"/>
              </a:solidFill>
              <a:effectLst/>
              <a:uLnTx/>
              <a:uFillTx/>
              <a:latin typeface="+mn-lt"/>
              <a:ea typeface="+mn-ea"/>
              <a:cs typeface="+mn-cs"/>
            </a:rPr>
            <a:t>Los directivos de una empresa multinacional de cosméticos quieren analizar la posible relación entre la variable Beneficios Anuales (Y) y la variable Gastos en Publicidad (X) para varios productos comercializados. La siguiente tabla recoge los datos así como el ajuste lineal propuesto en la Práctica 6:</a:t>
          </a:r>
        </a:p>
        <a:p>
          <a:pPr lvl="0">
            <a:spcBef>
              <a:spcPts val="600"/>
            </a:spcBef>
          </a:pPr>
          <a:r>
            <a:rPr kumimoji="0" lang="es-ES" sz="1400" b="0" i="0" u="none" strike="noStrike" kern="0" cap="none" spc="0" normalizeH="0" baseline="0">
              <a:ln>
                <a:noFill/>
              </a:ln>
              <a:solidFill>
                <a:sysClr val="window" lastClr="FFFFFF"/>
              </a:solidFill>
              <a:effectLst/>
              <a:uLnTx/>
              <a:uFillTx/>
              <a:latin typeface="+mn-lt"/>
              <a:ea typeface="+mn-ea"/>
              <a:cs typeface="+mn-cs"/>
            </a:rPr>
            <a:t>a) Con los datos propuestos determinar el ajuste entre los Beneficios Anuales y Gastos en Publicidad utilizando una función logarítmica (Y = a + b*ln(X)).</a:t>
          </a:r>
        </a:p>
        <a:p>
          <a:pPr lvl="0">
            <a:spcBef>
              <a:spcPts val="600"/>
            </a:spcBef>
          </a:pPr>
          <a:r>
            <a:rPr kumimoji="0" lang="es-ES" sz="1400" b="0" i="0" u="none" strike="noStrike" kern="0" cap="none" spc="0" normalizeH="0" baseline="0">
              <a:ln>
                <a:noFill/>
              </a:ln>
              <a:solidFill>
                <a:sysClr val="window" lastClr="FFFFFF"/>
              </a:solidFill>
              <a:effectLst/>
              <a:uLnTx/>
              <a:uFillTx/>
              <a:latin typeface="+mn-lt"/>
              <a:ea typeface="+mn-ea"/>
              <a:cs typeface="+mn-cs"/>
            </a:rPr>
            <a:t>b) Determinar la bondad del ajuste anterior.</a:t>
          </a:r>
        </a:p>
        <a:p>
          <a:pPr lvl="0">
            <a:spcBef>
              <a:spcPts val="600"/>
            </a:spcBef>
          </a:pPr>
          <a:r>
            <a:rPr kumimoji="0" lang="es-ES" sz="1400" b="0" i="0" u="none" strike="noStrike" kern="0" cap="none" spc="0" normalizeH="0" baseline="0">
              <a:ln>
                <a:noFill/>
              </a:ln>
              <a:solidFill>
                <a:sysClr val="window" lastClr="FFFFFF"/>
              </a:solidFill>
              <a:effectLst/>
              <a:uLnTx/>
              <a:uFillTx/>
              <a:latin typeface="+mn-lt"/>
              <a:ea typeface="+mn-ea"/>
              <a:cs typeface="+mn-cs"/>
            </a:rPr>
            <a:t>c) ¿Qué función, la lineal o la logarítmica, presenta mejor ajuste a los datos? ¿Por qué?</a:t>
          </a:r>
        </a:p>
        <a:p>
          <a:pPr marL="0" marR="0" lvl="0" indent="0" algn="just" defTabSz="914400" eaLnBrk="1" fontAlgn="auto" latinLnBrk="0" hangingPunct="1">
            <a:lnSpc>
              <a:spcPct val="100000"/>
            </a:lnSpc>
            <a:spcBef>
              <a:spcPts val="600"/>
            </a:spcBef>
            <a:spcAft>
              <a:spcPts val="0"/>
            </a:spcAft>
            <a:buClrTx/>
            <a:buSzTx/>
            <a:buFontTx/>
            <a:buNone/>
            <a:tabLst/>
            <a:defRPr/>
          </a:pPr>
          <a:endParaRPr kumimoji="0" lang="es-ES" sz="1400" b="0" i="0" u="none" strike="noStrike" kern="0" cap="none" spc="0" normalizeH="0" baseline="0" noProof="0" smtClean="0">
            <a:ln>
              <a:noFill/>
            </a:ln>
            <a:solidFill>
              <a:sysClr val="window" lastClr="FFFFFF"/>
            </a:solidFill>
            <a:effectLst/>
            <a:uLnTx/>
            <a:uFillTx/>
            <a:latin typeface="Calibri"/>
            <a:ea typeface="+mn-ea"/>
            <a:cs typeface="+mn-cs"/>
          </a:endParaRPr>
        </a:p>
        <a:p>
          <a:pPr marL="0" marR="0" lvl="0" indent="0" algn="just" defTabSz="914400" eaLnBrk="1" fontAlgn="auto" latinLnBrk="0" hangingPunct="1">
            <a:lnSpc>
              <a:spcPct val="100000"/>
            </a:lnSpc>
            <a:spcBef>
              <a:spcPts val="600"/>
            </a:spcBef>
            <a:spcAft>
              <a:spcPts val="0"/>
            </a:spcAft>
            <a:buClrTx/>
            <a:buSzTx/>
            <a:buFontTx/>
            <a:buNone/>
            <a:tabLst/>
            <a:defRPr/>
          </a:pPr>
          <a:r>
            <a:rPr kumimoji="0" lang="es-ES_tradnl" sz="1400" b="0" i="0" u="none" strike="noStrike" kern="0" cap="none" spc="0" normalizeH="0" baseline="0" noProof="0" smtClean="0">
              <a:ln>
                <a:noFill/>
              </a:ln>
              <a:solidFill>
                <a:sysClr val="window" lastClr="FFFFFF"/>
              </a:solidFill>
              <a:effectLst/>
              <a:uLnTx/>
              <a:uFillTx/>
              <a:latin typeface="Calibri"/>
              <a:ea typeface="+mn-ea"/>
              <a:cs typeface="+mn-cs"/>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685800</xdr:colOff>
      <xdr:row>22</xdr:row>
      <xdr:rowOff>25400</xdr:rowOff>
    </xdr:from>
    <xdr:to>
      <xdr:col>9</xdr:col>
      <xdr:colOff>485775</xdr:colOff>
      <xdr:row>46</xdr:row>
      <xdr:rowOff>92075</xdr:rowOff>
    </xdr:to>
    <xdr:graphicFrame macro="">
      <xdr:nvGraphicFramePr>
        <xdr:cNvPr id="2" name="Gráfico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209550</xdr:colOff>
      <xdr:row>0</xdr:row>
      <xdr:rowOff>57150</xdr:rowOff>
    </xdr:from>
    <xdr:to>
      <xdr:col>14</xdr:col>
      <xdr:colOff>104775</xdr:colOff>
      <xdr:row>7</xdr:row>
      <xdr:rowOff>104775</xdr:rowOff>
    </xdr:to>
    <xdr:sp macro="" textlink="">
      <xdr:nvSpPr>
        <xdr:cNvPr id="3" name="Rectángulo 2"/>
        <xdr:cNvSpPr/>
      </xdr:nvSpPr>
      <xdr:spPr>
        <a:xfrm>
          <a:off x="209550" y="57150"/>
          <a:ext cx="10791825" cy="1247775"/>
        </a:xfrm>
        <a:prstGeom prst="rect">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lvl="0">
            <a:spcBef>
              <a:spcPts val="600"/>
            </a:spcBef>
          </a:pPr>
          <a:r>
            <a:rPr kumimoji="0" lang="es-ES" sz="1400" b="0" i="0" u="none" strike="noStrike" kern="0" cap="none" spc="0" normalizeH="0" baseline="0">
              <a:ln>
                <a:noFill/>
              </a:ln>
              <a:solidFill>
                <a:sysClr val="window" lastClr="FFFFFF"/>
              </a:solidFill>
              <a:effectLst/>
              <a:uLnTx/>
              <a:uFillTx/>
              <a:latin typeface="+mn-lt"/>
              <a:ea typeface="+mn-ea"/>
              <a:cs typeface="+mn-cs"/>
            </a:rPr>
            <a:t>Una explotación agrícola familiar ha tenido en los siete últimos años, los siguientes gastos de producción (X) e ingresos totales (Y) en millones de euros (recogidos en la hoja Producción_agrícola junto con el ajuste lineal propuesto en la Práctica 6):</a:t>
          </a:r>
        </a:p>
        <a:p>
          <a:pPr lvl="0">
            <a:spcBef>
              <a:spcPts val="600"/>
            </a:spcBef>
          </a:pPr>
          <a:r>
            <a:rPr kumimoji="0" lang="es-ES" sz="1400" b="0" i="0" u="none" strike="noStrike" kern="0" cap="none" spc="0" normalizeH="0" baseline="0">
              <a:ln>
                <a:noFill/>
              </a:ln>
              <a:solidFill>
                <a:sysClr val="window" lastClr="FFFFFF"/>
              </a:solidFill>
              <a:effectLst/>
              <a:uLnTx/>
              <a:uFillTx/>
              <a:latin typeface="+mn-lt"/>
              <a:ea typeface="+mn-ea"/>
              <a:cs typeface="+mn-cs"/>
            </a:rPr>
            <a:t>a) A partir del gráfico de dispersión ajustar una función polinómica de regresión de orden 2.</a:t>
          </a:r>
        </a:p>
        <a:p>
          <a:pPr lvl="0">
            <a:spcBef>
              <a:spcPts val="600"/>
            </a:spcBef>
          </a:pPr>
          <a:r>
            <a:rPr kumimoji="0" lang="es-ES" sz="1400" b="0" i="0" u="none" strike="noStrike" kern="0" cap="none" spc="0" normalizeH="0" baseline="0">
              <a:ln>
                <a:noFill/>
              </a:ln>
              <a:solidFill>
                <a:sysClr val="window" lastClr="FFFFFF"/>
              </a:solidFill>
              <a:effectLst/>
              <a:uLnTx/>
              <a:uFillTx/>
              <a:latin typeface="+mn-lt"/>
              <a:ea typeface="+mn-ea"/>
              <a:cs typeface="+mn-cs"/>
            </a:rPr>
            <a:t>b) Medir la bondad del ajuste anterior.</a:t>
          </a:r>
        </a:p>
        <a:p>
          <a:endParaRPr kumimoji="0" lang="es-ES" sz="1400" b="0" i="0" u="none" strike="noStrike" kern="0" cap="none" spc="0" normalizeH="0" baseline="0">
            <a:ln>
              <a:noFill/>
            </a:ln>
            <a:solidFill>
              <a:sysClr val="window" lastClr="FFFFFF"/>
            </a:solidFill>
            <a:effectLst/>
            <a:uLnTx/>
            <a:uFillTx/>
            <a:latin typeface="Calibri"/>
            <a:ea typeface="+mn-ea"/>
            <a:cs typeface="+mn-cs"/>
          </a:endParaRPr>
        </a:p>
        <a:p>
          <a:pPr marL="0" marR="0" lvl="0" indent="0" algn="just" defTabSz="914400" eaLnBrk="1" fontAlgn="auto" latinLnBrk="0" hangingPunct="1">
            <a:lnSpc>
              <a:spcPct val="100000"/>
            </a:lnSpc>
            <a:spcBef>
              <a:spcPts val="600"/>
            </a:spcBef>
            <a:spcAft>
              <a:spcPts val="0"/>
            </a:spcAft>
            <a:buClrTx/>
            <a:buSzTx/>
            <a:buFontTx/>
            <a:buNone/>
            <a:tabLst/>
            <a:defRPr/>
          </a:pPr>
          <a:endParaRPr kumimoji="0" lang="es-ES" sz="1400" b="0" i="0" u="none" strike="noStrike" kern="0" cap="none" spc="0" normalizeH="0" baseline="0" noProof="0" smtClean="0">
            <a:ln>
              <a:noFill/>
            </a:ln>
            <a:solidFill>
              <a:sysClr val="window" lastClr="FFFFFF"/>
            </a:solidFill>
            <a:effectLst/>
            <a:uLnTx/>
            <a:uFillTx/>
            <a:latin typeface="Calibri"/>
            <a:ea typeface="+mn-ea"/>
            <a:cs typeface="+mn-cs"/>
          </a:endParaRPr>
        </a:p>
        <a:p>
          <a:pPr marL="0" marR="0" lvl="0" indent="0" algn="just" defTabSz="914400" eaLnBrk="1" fontAlgn="auto" latinLnBrk="0" hangingPunct="1">
            <a:lnSpc>
              <a:spcPct val="100000"/>
            </a:lnSpc>
            <a:spcBef>
              <a:spcPts val="600"/>
            </a:spcBef>
            <a:spcAft>
              <a:spcPts val="0"/>
            </a:spcAft>
            <a:buClrTx/>
            <a:buSzTx/>
            <a:buFontTx/>
            <a:buNone/>
            <a:tabLst/>
            <a:defRPr/>
          </a:pPr>
          <a:r>
            <a:rPr kumimoji="0" lang="es-ES_tradnl" sz="1400" b="0" i="0" u="none" strike="noStrike" kern="0" cap="none" spc="0" normalizeH="0" baseline="0" noProof="0" smtClean="0">
              <a:ln>
                <a:noFill/>
              </a:ln>
              <a:solidFill>
                <a:sysClr val="window" lastClr="FFFFFF"/>
              </a:solidFill>
              <a:effectLst/>
              <a:uLnTx/>
              <a:uFillTx/>
              <a:latin typeface="Calibri"/>
              <a:ea typeface="+mn-ea"/>
              <a:cs typeface="+mn-cs"/>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423862</xdr:colOff>
      <xdr:row>41</xdr:row>
      <xdr:rowOff>0</xdr:rowOff>
    </xdr:from>
    <xdr:to>
      <xdr:col>13</xdr:col>
      <xdr:colOff>373062</xdr:colOff>
      <xdr:row>56</xdr:row>
      <xdr:rowOff>146050</xdr:rowOff>
    </xdr:to>
    <xdr:graphicFrame macro="">
      <xdr:nvGraphicFramePr>
        <xdr:cNvPr id="2" name="1 Gráfico">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257175</xdr:colOff>
      <xdr:row>0</xdr:row>
      <xdr:rowOff>95250</xdr:rowOff>
    </xdr:from>
    <xdr:to>
      <xdr:col>13</xdr:col>
      <xdr:colOff>733425</xdr:colOff>
      <xdr:row>11</xdr:row>
      <xdr:rowOff>9525</xdr:rowOff>
    </xdr:to>
    <xdr:sp macro="" textlink="">
      <xdr:nvSpPr>
        <xdr:cNvPr id="3" name="Rectángulo 2"/>
        <xdr:cNvSpPr/>
      </xdr:nvSpPr>
      <xdr:spPr>
        <a:xfrm>
          <a:off x="257175" y="95250"/>
          <a:ext cx="10791825" cy="2009775"/>
        </a:xfrm>
        <a:prstGeom prst="rect">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lvl="0">
            <a:spcBef>
              <a:spcPts val="600"/>
            </a:spcBef>
          </a:pPr>
          <a:r>
            <a:rPr kumimoji="0" lang="es-ES" sz="1400" b="0" i="0" u="none" strike="noStrike" kern="0" cap="none" spc="0" normalizeH="0" baseline="0">
              <a:ln>
                <a:noFill/>
              </a:ln>
              <a:solidFill>
                <a:sysClr val="window" lastClr="FFFFFF"/>
              </a:solidFill>
              <a:effectLst/>
              <a:uLnTx/>
              <a:uFillTx/>
              <a:latin typeface="+mn-lt"/>
              <a:ea typeface="+mn-ea"/>
              <a:cs typeface="+mn-cs"/>
            </a:rPr>
            <a:t>Se desea estudiar la relación existente entre las variables X (experiencia, en días, de un operario en el manejo de una máquina) e Y (porcentaje de piezas defectuosas al manipular la máquina dicho operario). Los datos aparecen recogidos en la siguiente tabla.</a:t>
          </a:r>
        </a:p>
        <a:p>
          <a:pPr lvl="0">
            <a:spcBef>
              <a:spcPts val="600"/>
            </a:spcBef>
          </a:pPr>
          <a:r>
            <a:rPr kumimoji="0" lang="es-ES" sz="1400" b="0" i="0" u="none" strike="noStrike" kern="0" cap="none" spc="0" normalizeH="0" baseline="0">
              <a:ln>
                <a:noFill/>
              </a:ln>
              <a:solidFill>
                <a:sysClr val="window" lastClr="FFFFFF"/>
              </a:solidFill>
              <a:effectLst/>
              <a:uLnTx/>
              <a:uFillTx/>
              <a:latin typeface="+mn-lt"/>
              <a:ea typeface="+mn-ea"/>
              <a:cs typeface="+mn-cs"/>
            </a:rPr>
            <a:t>a) Estimar la recta de regresión de Y sobre X, medir la bondad de este ajuste, e interpretar los resultados obtenidos.</a:t>
          </a:r>
        </a:p>
        <a:p>
          <a:pPr lvl="0">
            <a:spcBef>
              <a:spcPts val="600"/>
            </a:spcBef>
          </a:pPr>
          <a:r>
            <a:rPr kumimoji="0" lang="es-ES" sz="1400" b="0" i="0" u="none" strike="noStrike" kern="0" cap="none" spc="0" normalizeH="0" baseline="0">
              <a:ln>
                <a:noFill/>
              </a:ln>
              <a:solidFill>
                <a:sysClr val="window" lastClr="FFFFFF"/>
              </a:solidFill>
              <a:effectLst/>
              <a:uLnTx/>
              <a:uFillTx/>
              <a:latin typeface="+mn-lt"/>
              <a:ea typeface="+mn-ea"/>
              <a:cs typeface="+mn-cs"/>
            </a:rPr>
            <a:t>b) Estimar la regresión potencial de Y sobre X, Y = a X</a:t>
          </a:r>
          <a:r>
            <a:rPr kumimoji="0" lang="es-ES" sz="1400" b="0" i="0" u="none" strike="noStrike" kern="0" cap="none" spc="0" normalizeH="0" baseline="30000">
              <a:ln>
                <a:noFill/>
              </a:ln>
              <a:solidFill>
                <a:sysClr val="window" lastClr="FFFFFF"/>
              </a:solidFill>
              <a:effectLst/>
              <a:uLnTx/>
              <a:uFillTx/>
              <a:latin typeface="+mn-lt"/>
              <a:ea typeface="+mn-ea"/>
              <a:cs typeface="+mn-cs"/>
            </a:rPr>
            <a:t>b</a:t>
          </a:r>
          <a:r>
            <a:rPr kumimoji="0" lang="es-ES" sz="1400" b="0" i="0" u="none" strike="noStrike" kern="0" cap="none" spc="0" normalizeH="0" baseline="0">
              <a:ln>
                <a:noFill/>
              </a:ln>
              <a:solidFill>
                <a:sysClr val="window" lastClr="FFFFFF"/>
              </a:solidFill>
              <a:effectLst/>
              <a:uLnTx/>
              <a:uFillTx/>
              <a:latin typeface="+mn-lt"/>
              <a:ea typeface="+mn-ea"/>
              <a:cs typeface="+mn-cs"/>
            </a:rPr>
            <a:t>, medir la bondad de este ajuste, e interpretar los resultados obtenidos. </a:t>
          </a:r>
        </a:p>
        <a:p>
          <a:pPr lvl="0">
            <a:spcBef>
              <a:spcPts val="600"/>
            </a:spcBef>
          </a:pPr>
          <a:r>
            <a:rPr kumimoji="0" lang="es-ES" sz="1400" b="0" i="0" u="none" strike="noStrike" kern="0" cap="none" spc="0" normalizeH="0" baseline="0">
              <a:ln>
                <a:noFill/>
              </a:ln>
              <a:solidFill>
                <a:sysClr val="window" lastClr="FFFFFF"/>
              </a:solidFill>
              <a:effectLst/>
              <a:uLnTx/>
              <a:uFillTx/>
              <a:latin typeface="+mn-lt"/>
              <a:ea typeface="+mn-ea"/>
              <a:cs typeface="+mn-cs"/>
            </a:rPr>
            <a:t>c) Representar gráficamente el diagrama de dispersión y mostrar en el mismo los dos ajustes anteriores. </a:t>
          </a:r>
        </a:p>
        <a:p>
          <a:pPr lvl="0">
            <a:spcBef>
              <a:spcPts val="600"/>
            </a:spcBef>
          </a:pPr>
          <a:r>
            <a:rPr kumimoji="0" lang="es-ES" sz="1400" b="0" i="0" u="none" strike="noStrike" kern="0" cap="none" spc="0" normalizeH="0" baseline="0">
              <a:ln>
                <a:noFill/>
              </a:ln>
              <a:solidFill>
                <a:sysClr val="window" lastClr="FFFFFF"/>
              </a:solidFill>
              <a:effectLst/>
              <a:uLnTx/>
              <a:uFillTx/>
              <a:latin typeface="+mn-lt"/>
              <a:ea typeface="+mn-ea"/>
              <a:cs typeface="+mn-cs"/>
            </a:rPr>
            <a:t>d) Utilizando el modelo que mejor se ajusta, predecir qué tasa de errores tendría un operario con una experiencia de 100 horas en el manejo de la máquina. ¿Es fiable esta predicción?</a:t>
          </a:r>
        </a:p>
        <a:p>
          <a:pPr marL="0" marR="0" lvl="0" indent="0" algn="just" defTabSz="914400" eaLnBrk="1" fontAlgn="auto" latinLnBrk="0" hangingPunct="1">
            <a:lnSpc>
              <a:spcPct val="100000"/>
            </a:lnSpc>
            <a:spcBef>
              <a:spcPts val="600"/>
            </a:spcBef>
            <a:spcAft>
              <a:spcPts val="0"/>
            </a:spcAft>
            <a:buClrTx/>
            <a:buSzTx/>
            <a:buFontTx/>
            <a:buNone/>
            <a:tabLst/>
            <a:defRPr/>
          </a:pPr>
          <a:endParaRPr kumimoji="0" lang="es-ES" sz="1400" b="0" i="0" u="none" strike="noStrike" kern="0" cap="none" spc="0" normalizeH="0" baseline="0" noProof="0" smtClean="0">
            <a:ln>
              <a:noFill/>
            </a:ln>
            <a:solidFill>
              <a:sysClr val="window" lastClr="FFFFFF"/>
            </a:solidFill>
            <a:effectLst/>
            <a:uLnTx/>
            <a:uFillTx/>
            <a:latin typeface="Calibri"/>
            <a:ea typeface="+mn-ea"/>
            <a:cs typeface="+mn-cs"/>
          </a:endParaRPr>
        </a:p>
        <a:p>
          <a:pPr marL="0" marR="0" lvl="0" indent="0" algn="just" defTabSz="914400" eaLnBrk="1" fontAlgn="auto" latinLnBrk="0" hangingPunct="1">
            <a:lnSpc>
              <a:spcPct val="100000"/>
            </a:lnSpc>
            <a:spcBef>
              <a:spcPts val="600"/>
            </a:spcBef>
            <a:spcAft>
              <a:spcPts val="0"/>
            </a:spcAft>
            <a:buClrTx/>
            <a:buSzTx/>
            <a:buFontTx/>
            <a:buNone/>
            <a:tabLst/>
            <a:defRPr/>
          </a:pPr>
          <a:r>
            <a:rPr kumimoji="0" lang="es-ES_tradnl" sz="1400" b="0" i="0" u="none" strike="noStrike" kern="0" cap="none" spc="0" normalizeH="0" baseline="0" noProof="0" smtClean="0">
              <a:ln>
                <a:noFill/>
              </a:ln>
              <a:solidFill>
                <a:sysClr val="window" lastClr="FFFFFF"/>
              </a:solidFill>
              <a:effectLst/>
              <a:uLnTx/>
              <a:uFillTx/>
              <a:latin typeface="Calibri"/>
              <a:ea typeface="+mn-ea"/>
              <a:cs typeface="+mn-cs"/>
            </a:rPr>
            <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15</xdr:col>
      <xdr:colOff>466725</xdr:colOff>
      <xdr:row>12</xdr:row>
      <xdr:rowOff>4761</xdr:rowOff>
    </xdr:from>
    <xdr:to>
      <xdr:col>23</xdr:col>
      <xdr:colOff>161925</xdr:colOff>
      <xdr:row>28</xdr:row>
      <xdr:rowOff>98424</xdr:rowOff>
    </xdr:to>
    <xdr:graphicFrame macro="">
      <xdr:nvGraphicFramePr>
        <xdr:cNvPr id="2" name="1 Gráfico">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323851</xdr:colOff>
      <xdr:row>27</xdr:row>
      <xdr:rowOff>171454</xdr:rowOff>
    </xdr:from>
    <xdr:to>
      <xdr:col>10</xdr:col>
      <xdr:colOff>333374</xdr:colOff>
      <xdr:row>30</xdr:row>
      <xdr:rowOff>61619</xdr:rowOff>
    </xdr:to>
    <mc:AlternateContent xmlns:mc="http://schemas.openxmlformats.org/markup-compatibility/2006" xmlns:a14="http://schemas.microsoft.com/office/drawing/2010/main">
      <mc:Choice Requires="a14">
        <xdr:sp macro="" textlink="">
          <xdr:nvSpPr>
            <xdr:cNvPr id="3" name="5 CuadroTexto">
              <a:extLst>
                <a:ext uri="{FF2B5EF4-FFF2-40B4-BE49-F238E27FC236}">
                  <a16:creationId xmlns:a16="http://schemas.microsoft.com/office/drawing/2014/main" id="{00000000-0008-0000-0800-000003000000}"/>
                </a:ext>
              </a:extLst>
            </xdr:cNvPr>
            <xdr:cNvSpPr txBox="1"/>
          </xdr:nvSpPr>
          <xdr:spPr>
            <a:xfrm>
              <a:off x="4600576" y="3600454"/>
              <a:ext cx="1990723" cy="461665"/>
            </a:xfrm>
            <a:prstGeom prst="rect">
              <a:avLst/>
            </a:prstGeom>
            <a:solidFill>
              <a:schemeClr val="accent1">
                <a:lumMod val="40000"/>
                <a:lumOff val="60000"/>
              </a:schemeClr>
            </a:solidFill>
          </xdr:spPr>
          <xdr:txBody>
            <a:bodyPr wrap="square" rtlCol="0">
              <a:spAutoFit/>
            </a:bodyPr>
            <a:lstStyle>
              <a:defPPr>
                <a:defRPr lang="es-ES_tradnl"/>
              </a:defPPr>
              <a:lvl1pPr algn="ctr" rtl="0" eaLnBrk="0" fontAlgn="base" hangingPunct="0">
                <a:spcBef>
                  <a:spcPct val="0"/>
                </a:spcBef>
                <a:spcAft>
                  <a:spcPct val="0"/>
                </a:spcAft>
                <a:defRPr sz="2000" i="1" kern="1200">
                  <a:solidFill>
                    <a:schemeClr val="tx2"/>
                  </a:solidFill>
                  <a:latin typeface="Calibri" pitchFamily="34" charset="0"/>
                  <a:ea typeface="+mn-ea"/>
                  <a:cs typeface="+mn-cs"/>
                </a:defRPr>
              </a:lvl1pPr>
              <a:lvl2pPr marL="457200" algn="ctr" rtl="0" eaLnBrk="0" fontAlgn="base" hangingPunct="0">
                <a:spcBef>
                  <a:spcPct val="0"/>
                </a:spcBef>
                <a:spcAft>
                  <a:spcPct val="0"/>
                </a:spcAft>
                <a:defRPr sz="2000" i="1" kern="1200">
                  <a:solidFill>
                    <a:schemeClr val="tx2"/>
                  </a:solidFill>
                  <a:latin typeface="Calibri" pitchFamily="34" charset="0"/>
                  <a:ea typeface="+mn-ea"/>
                  <a:cs typeface="+mn-cs"/>
                </a:defRPr>
              </a:lvl2pPr>
              <a:lvl3pPr marL="914400" algn="ctr" rtl="0" eaLnBrk="0" fontAlgn="base" hangingPunct="0">
                <a:spcBef>
                  <a:spcPct val="0"/>
                </a:spcBef>
                <a:spcAft>
                  <a:spcPct val="0"/>
                </a:spcAft>
                <a:defRPr sz="2000" i="1" kern="1200">
                  <a:solidFill>
                    <a:schemeClr val="tx2"/>
                  </a:solidFill>
                  <a:latin typeface="Calibri" pitchFamily="34" charset="0"/>
                  <a:ea typeface="+mn-ea"/>
                  <a:cs typeface="+mn-cs"/>
                </a:defRPr>
              </a:lvl3pPr>
              <a:lvl4pPr marL="1371600" algn="ctr" rtl="0" eaLnBrk="0" fontAlgn="base" hangingPunct="0">
                <a:spcBef>
                  <a:spcPct val="0"/>
                </a:spcBef>
                <a:spcAft>
                  <a:spcPct val="0"/>
                </a:spcAft>
                <a:defRPr sz="2000" i="1" kern="1200">
                  <a:solidFill>
                    <a:schemeClr val="tx2"/>
                  </a:solidFill>
                  <a:latin typeface="Calibri" pitchFamily="34" charset="0"/>
                  <a:ea typeface="+mn-ea"/>
                  <a:cs typeface="+mn-cs"/>
                </a:defRPr>
              </a:lvl4pPr>
              <a:lvl5pPr marL="1828800" algn="ctr" rtl="0" eaLnBrk="0" fontAlgn="base" hangingPunct="0">
                <a:spcBef>
                  <a:spcPct val="0"/>
                </a:spcBef>
                <a:spcAft>
                  <a:spcPct val="0"/>
                </a:spcAft>
                <a:defRPr sz="2000" i="1" kern="1200">
                  <a:solidFill>
                    <a:schemeClr val="tx2"/>
                  </a:solidFill>
                  <a:latin typeface="Calibri" pitchFamily="34" charset="0"/>
                  <a:ea typeface="+mn-ea"/>
                  <a:cs typeface="+mn-cs"/>
                </a:defRPr>
              </a:lvl5pPr>
              <a:lvl6pPr marL="2286000" algn="l" defTabSz="914400" rtl="0" eaLnBrk="1" latinLnBrk="0" hangingPunct="1">
                <a:defRPr sz="2000" i="1" kern="1200">
                  <a:solidFill>
                    <a:schemeClr val="tx2"/>
                  </a:solidFill>
                  <a:latin typeface="Calibri" pitchFamily="34" charset="0"/>
                  <a:ea typeface="+mn-ea"/>
                  <a:cs typeface="+mn-cs"/>
                </a:defRPr>
              </a:lvl6pPr>
              <a:lvl7pPr marL="2743200" algn="l" defTabSz="914400" rtl="0" eaLnBrk="1" latinLnBrk="0" hangingPunct="1">
                <a:defRPr sz="2000" i="1" kern="1200">
                  <a:solidFill>
                    <a:schemeClr val="tx2"/>
                  </a:solidFill>
                  <a:latin typeface="Calibri" pitchFamily="34" charset="0"/>
                  <a:ea typeface="+mn-ea"/>
                  <a:cs typeface="+mn-cs"/>
                </a:defRPr>
              </a:lvl7pPr>
              <a:lvl8pPr marL="3200400" algn="l" defTabSz="914400" rtl="0" eaLnBrk="1" latinLnBrk="0" hangingPunct="1">
                <a:defRPr sz="2000" i="1" kern="1200">
                  <a:solidFill>
                    <a:schemeClr val="tx2"/>
                  </a:solidFill>
                  <a:latin typeface="Calibri" pitchFamily="34" charset="0"/>
                  <a:ea typeface="+mn-ea"/>
                  <a:cs typeface="+mn-cs"/>
                </a:defRPr>
              </a:lvl8pPr>
              <a:lvl9pPr marL="3657600" algn="l" defTabSz="914400" rtl="0" eaLnBrk="1" latinLnBrk="0" hangingPunct="1">
                <a:defRPr sz="2000" i="1" kern="1200">
                  <a:solidFill>
                    <a:schemeClr val="tx2"/>
                  </a:solidFill>
                  <a:latin typeface="Calibri" pitchFamily="34" charset="0"/>
                  <a:ea typeface="+mn-ea"/>
                  <a:cs typeface="+mn-cs"/>
                </a:defRPr>
              </a:lvl9pPr>
            </a:lstStyle>
            <a:p>
              <a:pPr/>
              <a14:m>
                <m:oMathPara xmlns:m="http://schemas.openxmlformats.org/officeDocument/2006/math">
                  <m:oMathParaPr>
                    <m:jc m:val="centerGroup"/>
                  </m:oMathParaPr>
                  <m:oMath xmlns:m="http://schemas.openxmlformats.org/officeDocument/2006/math">
                    <m:r>
                      <a:rPr lang="es-ES" sz="1200" b="0" i="1">
                        <a:solidFill>
                          <a:schemeClr val="tx1"/>
                        </a:solidFill>
                        <a:latin typeface="Cambria Math"/>
                      </a:rPr>
                      <m:t>𝑌</m:t>
                    </m:r>
                    <m:r>
                      <a:rPr lang="es-ES" sz="1200" b="0" i="1">
                        <a:solidFill>
                          <a:schemeClr val="tx1"/>
                        </a:solidFill>
                        <a:latin typeface="Cambria Math"/>
                      </a:rPr>
                      <m:t>=1643,05−</m:t>
                    </m:r>
                    <m:f>
                      <m:fPr>
                        <m:ctrlPr>
                          <a:rPr lang="es-ES" sz="1200" b="0" i="1">
                            <a:solidFill>
                              <a:schemeClr val="tx1"/>
                            </a:solidFill>
                            <a:latin typeface="Cambria Math" panose="02040503050406030204" pitchFamily="18" charset="0"/>
                          </a:rPr>
                        </m:ctrlPr>
                      </m:fPr>
                      <m:num>
                        <m:r>
                          <a:rPr lang="es-ES" sz="1200" b="0" i="1">
                            <a:solidFill>
                              <a:schemeClr val="tx1"/>
                            </a:solidFill>
                            <a:latin typeface="Cambria Math"/>
                          </a:rPr>
                          <m:t>1,11</m:t>
                        </m:r>
                        <m:r>
                          <a:rPr lang="es-ES" sz="1200" b="0" i="1">
                            <a:solidFill>
                              <a:schemeClr val="tx1"/>
                            </a:solidFill>
                            <a:latin typeface="Cambria Math"/>
                            <a:ea typeface="Cambria Math"/>
                          </a:rPr>
                          <m:t>×</m:t>
                        </m:r>
                        <m:sSup>
                          <m:sSupPr>
                            <m:ctrlPr>
                              <a:rPr lang="es-ES" sz="1200" b="0" i="1">
                                <a:solidFill>
                                  <a:schemeClr val="tx1"/>
                                </a:solidFill>
                                <a:latin typeface="Cambria Math" panose="02040503050406030204" pitchFamily="18" charset="0"/>
                                <a:ea typeface="Cambria Math"/>
                              </a:rPr>
                            </m:ctrlPr>
                          </m:sSupPr>
                          <m:e>
                            <m:r>
                              <a:rPr lang="es-ES" sz="1200" b="0" i="1">
                                <a:solidFill>
                                  <a:schemeClr val="tx1"/>
                                </a:solidFill>
                                <a:latin typeface="Cambria Math"/>
                                <a:ea typeface="Cambria Math"/>
                              </a:rPr>
                              <m:t>10</m:t>
                            </m:r>
                          </m:e>
                          <m:sup>
                            <m:r>
                              <a:rPr lang="es-ES" sz="1200" b="0" i="1">
                                <a:solidFill>
                                  <a:schemeClr val="tx1"/>
                                </a:solidFill>
                                <a:latin typeface="Cambria Math"/>
                                <a:ea typeface="Cambria Math"/>
                              </a:rPr>
                              <m:t>6</m:t>
                            </m:r>
                          </m:sup>
                        </m:sSup>
                      </m:num>
                      <m:den>
                        <m:r>
                          <a:rPr lang="es-ES" sz="1200" b="0" i="1">
                            <a:solidFill>
                              <a:schemeClr val="tx1"/>
                            </a:solidFill>
                            <a:latin typeface="Cambria Math"/>
                          </a:rPr>
                          <m:t>𝑋</m:t>
                        </m:r>
                      </m:den>
                    </m:f>
                  </m:oMath>
                </m:oMathPara>
              </a14:m>
              <a:endParaRPr lang="es-ES" sz="1200"/>
            </a:p>
          </xdr:txBody>
        </xdr:sp>
      </mc:Choice>
      <mc:Fallback xmlns="">
        <xdr:sp macro="" textlink="">
          <xdr:nvSpPr>
            <xdr:cNvPr id="3" name="5 CuadroTexto">
              <a:extLst>
                <a:ext uri="{FF2B5EF4-FFF2-40B4-BE49-F238E27FC236}">
                  <a16:creationId xmlns:a16="http://schemas.microsoft.com/office/drawing/2014/main" id="{00000000-0008-0000-0800-000003000000}"/>
                </a:ext>
              </a:extLst>
            </xdr:cNvPr>
            <xdr:cNvSpPr txBox="1"/>
          </xdr:nvSpPr>
          <xdr:spPr>
            <a:xfrm>
              <a:off x="4600576" y="3600454"/>
              <a:ext cx="1990723" cy="461665"/>
            </a:xfrm>
            <a:prstGeom prst="rect">
              <a:avLst/>
            </a:prstGeom>
            <a:solidFill>
              <a:schemeClr val="accent1">
                <a:lumMod val="40000"/>
                <a:lumOff val="60000"/>
              </a:schemeClr>
            </a:solidFill>
          </xdr:spPr>
          <xdr:txBody>
            <a:bodyPr wrap="square" rtlCol="0">
              <a:spAutoFit/>
            </a:bodyPr>
            <a:lstStyle>
              <a:defPPr>
                <a:defRPr lang="es-ES_tradnl"/>
              </a:defPPr>
              <a:lvl1pPr algn="ctr" rtl="0" eaLnBrk="0" fontAlgn="base" hangingPunct="0">
                <a:spcBef>
                  <a:spcPct val="0"/>
                </a:spcBef>
                <a:spcAft>
                  <a:spcPct val="0"/>
                </a:spcAft>
                <a:defRPr sz="2000" i="1" kern="1200">
                  <a:solidFill>
                    <a:schemeClr val="tx2"/>
                  </a:solidFill>
                  <a:latin typeface="Calibri" pitchFamily="34" charset="0"/>
                  <a:ea typeface="+mn-ea"/>
                  <a:cs typeface="+mn-cs"/>
                </a:defRPr>
              </a:lvl1pPr>
              <a:lvl2pPr marL="457200" algn="ctr" rtl="0" eaLnBrk="0" fontAlgn="base" hangingPunct="0">
                <a:spcBef>
                  <a:spcPct val="0"/>
                </a:spcBef>
                <a:spcAft>
                  <a:spcPct val="0"/>
                </a:spcAft>
                <a:defRPr sz="2000" i="1" kern="1200">
                  <a:solidFill>
                    <a:schemeClr val="tx2"/>
                  </a:solidFill>
                  <a:latin typeface="Calibri" pitchFamily="34" charset="0"/>
                  <a:ea typeface="+mn-ea"/>
                  <a:cs typeface="+mn-cs"/>
                </a:defRPr>
              </a:lvl2pPr>
              <a:lvl3pPr marL="914400" algn="ctr" rtl="0" eaLnBrk="0" fontAlgn="base" hangingPunct="0">
                <a:spcBef>
                  <a:spcPct val="0"/>
                </a:spcBef>
                <a:spcAft>
                  <a:spcPct val="0"/>
                </a:spcAft>
                <a:defRPr sz="2000" i="1" kern="1200">
                  <a:solidFill>
                    <a:schemeClr val="tx2"/>
                  </a:solidFill>
                  <a:latin typeface="Calibri" pitchFamily="34" charset="0"/>
                  <a:ea typeface="+mn-ea"/>
                  <a:cs typeface="+mn-cs"/>
                </a:defRPr>
              </a:lvl3pPr>
              <a:lvl4pPr marL="1371600" algn="ctr" rtl="0" eaLnBrk="0" fontAlgn="base" hangingPunct="0">
                <a:spcBef>
                  <a:spcPct val="0"/>
                </a:spcBef>
                <a:spcAft>
                  <a:spcPct val="0"/>
                </a:spcAft>
                <a:defRPr sz="2000" i="1" kern="1200">
                  <a:solidFill>
                    <a:schemeClr val="tx2"/>
                  </a:solidFill>
                  <a:latin typeface="Calibri" pitchFamily="34" charset="0"/>
                  <a:ea typeface="+mn-ea"/>
                  <a:cs typeface="+mn-cs"/>
                </a:defRPr>
              </a:lvl4pPr>
              <a:lvl5pPr marL="1828800" algn="ctr" rtl="0" eaLnBrk="0" fontAlgn="base" hangingPunct="0">
                <a:spcBef>
                  <a:spcPct val="0"/>
                </a:spcBef>
                <a:spcAft>
                  <a:spcPct val="0"/>
                </a:spcAft>
                <a:defRPr sz="2000" i="1" kern="1200">
                  <a:solidFill>
                    <a:schemeClr val="tx2"/>
                  </a:solidFill>
                  <a:latin typeface="Calibri" pitchFamily="34" charset="0"/>
                  <a:ea typeface="+mn-ea"/>
                  <a:cs typeface="+mn-cs"/>
                </a:defRPr>
              </a:lvl5pPr>
              <a:lvl6pPr marL="2286000" algn="l" defTabSz="914400" rtl="0" eaLnBrk="1" latinLnBrk="0" hangingPunct="1">
                <a:defRPr sz="2000" i="1" kern="1200">
                  <a:solidFill>
                    <a:schemeClr val="tx2"/>
                  </a:solidFill>
                  <a:latin typeface="Calibri" pitchFamily="34" charset="0"/>
                  <a:ea typeface="+mn-ea"/>
                  <a:cs typeface="+mn-cs"/>
                </a:defRPr>
              </a:lvl6pPr>
              <a:lvl7pPr marL="2743200" algn="l" defTabSz="914400" rtl="0" eaLnBrk="1" latinLnBrk="0" hangingPunct="1">
                <a:defRPr sz="2000" i="1" kern="1200">
                  <a:solidFill>
                    <a:schemeClr val="tx2"/>
                  </a:solidFill>
                  <a:latin typeface="Calibri" pitchFamily="34" charset="0"/>
                  <a:ea typeface="+mn-ea"/>
                  <a:cs typeface="+mn-cs"/>
                </a:defRPr>
              </a:lvl7pPr>
              <a:lvl8pPr marL="3200400" algn="l" defTabSz="914400" rtl="0" eaLnBrk="1" latinLnBrk="0" hangingPunct="1">
                <a:defRPr sz="2000" i="1" kern="1200">
                  <a:solidFill>
                    <a:schemeClr val="tx2"/>
                  </a:solidFill>
                  <a:latin typeface="Calibri" pitchFamily="34" charset="0"/>
                  <a:ea typeface="+mn-ea"/>
                  <a:cs typeface="+mn-cs"/>
                </a:defRPr>
              </a:lvl8pPr>
              <a:lvl9pPr marL="3657600" algn="l" defTabSz="914400" rtl="0" eaLnBrk="1" latinLnBrk="0" hangingPunct="1">
                <a:defRPr sz="2000" i="1" kern="1200">
                  <a:solidFill>
                    <a:schemeClr val="tx2"/>
                  </a:solidFill>
                  <a:latin typeface="Calibri" pitchFamily="34" charset="0"/>
                  <a:ea typeface="+mn-ea"/>
                  <a:cs typeface="+mn-cs"/>
                </a:defRPr>
              </a:lvl9pPr>
            </a:lstStyle>
            <a:p>
              <a:pPr/>
              <a:r>
                <a:rPr lang="es-ES" sz="1200" b="0" i="0">
                  <a:solidFill>
                    <a:schemeClr val="tx1"/>
                  </a:solidFill>
                  <a:latin typeface="Cambria Math"/>
                </a:rPr>
                <a:t>𝑌=1643,05−</a:t>
              </a:r>
              <a:r>
                <a:rPr lang="es-ES" sz="1200" b="0" i="0">
                  <a:solidFill>
                    <a:schemeClr val="tx1"/>
                  </a:solidFill>
                  <a:latin typeface="Cambria Math" panose="02040503050406030204" pitchFamily="18" charset="0"/>
                </a:rPr>
                <a:t>(</a:t>
              </a:r>
              <a:r>
                <a:rPr lang="es-ES" sz="1200" b="0" i="0">
                  <a:solidFill>
                    <a:schemeClr val="tx1"/>
                  </a:solidFill>
                  <a:latin typeface="Cambria Math"/>
                </a:rPr>
                <a:t>1,11</a:t>
              </a:r>
              <a:r>
                <a:rPr lang="es-ES" sz="1200" b="0" i="0">
                  <a:solidFill>
                    <a:schemeClr val="tx1"/>
                  </a:solidFill>
                  <a:latin typeface="Cambria Math"/>
                  <a:ea typeface="Cambria Math"/>
                </a:rPr>
                <a:t>×</a:t>
              </a:r>
              <a:r>
                <a:rPr lang="es-ES" sz="1200" b="0" i="0">
                  <a:solidFill>
                    <a:schemeClr val="tx1"/>
                  </a:solidFill>
                  <a:latin typeface="Cambria Math" panose="02040503050406030204" pitchFamily="18" charset="0"/>
                  <a:ea typeface="Cambria Math"/>
                </a:rPr>
                <a:t>〖</a:t>
              </a:r>
              <a:r>
                <a:rPr lang="es-ES" sz="1200" b="0" i="0">
                  <a:solidFill>
                    <a:schemeClr val="tx1"/>
                  </a:solidFill>
                  <a:latin typeface="Cambria Math"/>
                  <a:ea typeface="Cambria Math"/>
                </a:rPr>
                <a:t>10</a:t>
              </a:r>
              <a:r>
                <a:rPr lang="es-ES" sz="1200" b="0" i="0">
                  <a:solidFill>
                    <a:schemeClr val="tx1"/>
                  </a:solidFill>
                  <a:latin typeface="Cambria Math" panose="02040503050406030204" pitchFamily="18" charset="0"/>
                  <a:ea typeface="Cambria Math"/>
                </a:rPr>
                <a:t>〗^</a:t>
              </a:r>
              <a:r>
                <a:rPr lang="es-ES" sz="1200" b="0" i="0">
                  <a:solidFill>
                    <a:schemeClr val="tx1"/>
                  </a:solidFill>
                  <a:latin typeface="Cambria Math"/>
                  <a:ea typeface="Cambria Math"/>
                </a:rPr>
                <a:t>6</a:t>
              </a:r>
              <a:r>
                <a:rPr lang="es-ES" sz="1200" b="0" i="0">
                  <a:solidFill>
                    <a:schemeClr val="tx1"/>
                  </a:solidFill>
                  <a:latin typeface="Cambria Math" panose="02040503050406030204" pitchFamily="18" charset="0"/>
                  <a:ea typeface="Cambria Math"/>
                </a:rPr>
                <a:t>)/</a:t>
              </a:r>
              <a:r>
                <a:rPr lang="es-ES" sz="1200" b="0" i="0">
                  <a:solidFill>
                    <a:schemeClr val="tx1"/>
                  </a:solidFill>
                  <a:latin typeface="Cambria Math"/>
                </a:rPr>
                <a:t>𝑋</a:t>
              </a:r>
              <a:endParaRPr lang="es-ES" sz="1200"/>
            </a:p>
          </xdr:txBody>
        </xdr:sp>
      </mc:Fallback>
    </mc:AlternateContent>
    <xdr:clientData/>
  </xdr:twoCellAnchor>
  <xdr:twoCellAnchor>
    <xdr:from>
      <xdr:col>0</xdr:col>
      <xdr:colOff>209550</xdr:colOff>
      <xdr:row>0</xdr:row>
      <xdr:rowOff>114300</xdr:rowOff>
    </xdr:from>
    <xdr:to>
      <xdr:col>17</xdr:col>
      <xdr:colOff>476250</xdr:colOff>
      <xdr:row>9</xdr:row>
      <xdr:rowOff>133350</xdr:rowOff>
    </xdr:to>
    <xdr:sp macro="" textlink="">
      <xdr:nvSpPr>
        <xdr:cNvPr id="4" name="Rectángulo 3"/>
        <xdr:cNvSpPr/>
      </xdr:nvSpPr>
      <xdr:spPr>
        <a:xfrm>
          <a:off x="209550" y="114300"/>
          <a:ext cx="10791825" cy="1733550"/>
        </a:xfrm>
        <a:prstGeom prst="rect">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lvl="0">
            <a:spcBef>
              <a:spcPts val="600"/>
            </a:spcBef>
          </a:pPr>
          <a:r>
            <a:rPr kumimoji="0" lang="es-ES" sz="1400" b="0" i="0" u="none" strike="noStrike" kern="0" cap="none" spc="0" normalizeH="0" baseline="0">
              <a:ln>
                <a:noFill/>
              </a:ln>
              <a:solidFill>
                <a:sysClr val="window" lastClr="FFFFFF"/>
              </a:solidFill>
              <a:effectLst/>
              <a:uLnTx/>
              <a:uFillTx/>
              <a:latin typeface="+mn-lt"/>
              <a:ea typeface="+mn-ea"/>
              <a:cs typeface="+mn-cs"/>
            </a:rPr>
            <a:t>Se han observado en 10 familias sus ingresos (X) y gastos mensuales (Y) en €. Los datos aparecen recogidos en la hoja ‘Familias’.</a:t>
          </a:r>
        </a:p>
        <a:p>
          <a:pPr lvl="0">
            <a:spcBef>
              <a:spcPts val="600"/>
            </a:spcBef>
          </a:pPr>
          <a:r>
            <a:rPr kumimoji="0" lang="es-ES" sz="1400" b="0" i="0" u="none" strike="noStrike" kern="0" cap="none" spc="0" normalizeH="0" baseline="0">
              <a:ln>
                <a:noFill/>
              </a:ln>
              <a:solidFill>
                <a:sysClr val="window" lastClr="FFFFFF"/>
              </a:solidFill>
              <a:effectLst/>
              <a:uLnTx/>
              <a:uFillTx/>
              <a:latin typeface="+mn-lt"/>
              <a:ea typeface="+mn-ea"/>
              <a:cs typeface="+mn-cs"/>
            </a:rPr>
            <a:t>a) Representar gráficamente el diagrama de dispersión. ¿Qué tipo de relación se aprecia en el mismo?</a:t>
          </a:r>
        </a:p>
        <a:p>
          <a:pPr lvl="0">
            <a:spcBef>
              <a:spcPts val="600"/>
            </a:spcBef>
          </a:pPr>
          <a:r>
            <a:rPr kumimoji="0" lang="es-ES" sz="1400" b="0" i="0" u="none" strike="noStrike" kern="0" cap="none" spc="0" normalizeH="0" baseline="0">
              <a:ln>
                <a:noFill/>
              </a:ln>
              <a:solidFill>
                <a:sysClr val="window" lastClr="FFFFFF"/>
              </a:solidFill>
              <a:effectLst/>
              <a:uLnTx/>
              <a:uFillTx/>
              <a:latin typeface="+mn-lt"/>
              <a:ea typeface="+mn-ea"/>
              <a:cs typeface="+mn-cs"/>
            </a:rPr>
            <a:t>b) Estimar una función de regresión hiperbólica de Y sobre X, 𝑌=𝑎+𝑏/𝑋 , utilizando funciones de Excel.</a:t>
          </a:r>
        </a:p>
        <a:p>
          <a:pPr lvl="0">
            <a:spcBef>
              <a:spcPts val="600"/>
            </a:spcBef>
          </a:pPr>
          <a:r>
            <a:rPr kumimoji="0" lang="es-ES" sz="1400" b="0" i="0" u="none" strike="noStrike" kern="0" cap="none" spc="0" normalizeH="0" baseline="0">
              <a:ln>
                <a:noFill/>
              </a:ln>
              <a:solidFill>
                <a:sysClr val="window" lastClr="FFFFFF"/>
              </a:solidFill>
              <a:effectLst/>
              <a:uLnTx/>
              <a:uFillTx/>
              <a:latin typeface="+mn-lt"/>
              <a:ea typeface="+mn-ea"/>
              <a:cs typeface="+mn-cs"/>
            </a:rPr>
            <a:t>c) Medir la bondad del ajuste anterior.</a:t>
          </a:r>
        </a:p>
        <a:p>
          <a:pPr lvl="0">
            <a:spcBef>
              <a:spcPts val="600"/>
            </a:spcBef>
          </a:pPr>
          <a:r>
            <a:rPr kumimoji="0" lang="es-ES" sz="1400" b="0" i="0" u="none" strike="noStrike" kern="0" cap="none" spc="0" normalizeH="0" baseline="0">
              <a:ln>
                <a:noFill/>
              </a:ln>
              <a:solidFill>
                <a:sysClr val="window" lastClr="FFFFFF"/>
              </a:solidFill>
              <a:effectLst/>
              <a:uLnTx/>
              <a:uFillTx/>
              <a:latin typeface="+mn-lt"/>
              <a:ea typeface="+mn-ea"/>
              <a:cs typeface="+mn-cs"/>
            </a:rPr>
            <a:t>d) Estimar el gasto mensual de una familia cuyos ingresos mensuales son de 3000 euros. ¿Es fiable la predicción?</a:t>
          </a:r>
        </a:p>
        <a:p>
          <a:endParaRPr kumimoji="0" lang="es-ES" sz="1400" b="0" i="0" u="none" strike="noStrike" kern="0" cap="none" spc="0" normalizeH="0" baseline="0">
            <a:ln>
              <a:noFill/>
            </a:ln>
            <a:solidFill>
              <a:sysClr val="window" lastClr="FFFFFF"/>
            </a:solidFill>
            <a:effectLst/>
            <a:uLnTx/>
            <a:uFillTx/>
            <a:latin typeface="Calibri"/>
            <a:ea typeface="+mn-ea"/>
            <a:cs typeface="+mn-cs"/>
          </a:endParaRPr>
        </a:p>
        <a:p>
          <a:pPr marL="0" marR="0" lvl="0" indent="0" algn="just" defTabSz="914400" eaLnBrk="1" fontAlgn="auto" latinLnBrk="0" hangingPunct="1">
            <a:lnSpc>
              <a:spcPct val="100000"/>
            </a:lnSpc>
            <a:spcBef>
              <a:spcPts val="600"/>
            </a:spcBef>
            <a:spcAft>
              <a:spcPts val="0"/>
            </a:spcAft>
            <a:buClrTx/>
            <a:buSzTx/>
            <a:buFontTx/>
            <a:buNone/>
            <a:tabLst/>
            <a:defRPr/>
          </a:pPr>
          <a:endParaRPr kumimoji="0" lang="es-ES" sz="1400" b="0" i="0" u="none" strike="noStrike" kern="0" cap="none" spc="0" normalizeH="0" baseline="0" noProof="0" smtClean="0">
            <a:ln>
              <a:noFill/>
            </a:ln>
            <a:solidFill>
              <a:sysClr val="window" lastClr="FFFFFF"/>
            </a:solidFill>
            <a:effectLst/>
            <a:uLnTx/>
            <a:uFillTx/>
            <a:latin typeface="Calibri"/>
            <a:ea typeface="+mn-ea"/>
            <a:cs typeface="+mn-cs"/>
          </a:endParaRPr>
        </a:p>
        <a:p>
          <a:pPr marL="0" marR="0" lvl="0" indent="0" algn="just" defTabSz="914400" eaLnBrk="1" fontAlgn="auto" latinLnBrk="0" hangingPunct="1">
            <a:lnSpc>
              <a:spcPct val="100000"/>
            </a:lnSpc>
            <a:spcBef>
              <a:spcPts val="600"/>
            </a:spcBef>
            <a:spcAft>
              <a:spcPts val="0"/>
            </a:spcAft>
            <a:buClrTx/>
            <a:buSzTx/>
            <a:buFontTx/>
            <a:buNone/>
            <a:tabLst/>
            <a:defRPr/>
          </a:pPr>
          <a:r>
            <a:rPr kumimoji="0" lang="es-ES_tradnl" sz="1400" b="0" i="0" u="none" strike="noStrike" kern="0" cap="none" spc="0" normalizeH="0" baseline="0" noProof="0" smtClean="0">
              <a:ln>
                <a:noFill/>
              </a:ln>
              <a:solidFill>
                <a:sysClr val="window" lastClr="FFFFFF"/>
              </a:solidFill>
              <a:effectLst/>
              <a:uLnTx/>
              <a:uFillTx/>
              <a:latin typeface="Calibri"/>
              <a:ea typeface="+mn-ea"/>
              <a:cs typeface="+mn-cs"/>
            </a:rPr>
            <a:t> </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141"/>
  <sheetViews>
    <sheetView topLeftCell="A22" workbookViewId="0">
      <selection activeCell="O34" sqref="O34:R34"/>
    </sheetView>
  </sheetViews>
  <sheetFormatPr baseColWidth="10" defaultColWidth="11.42578125" defaultRowHeight="15" x14ac:dyDescent="0.25"/>
  <cols>
    <col min="2" max="2" width="13.28515625" bestFit="1" customWidth="1"/>
    <col min="3" max="4" width="12.28515625" bestFit="1" customWidth="1"/>
    <col min="5" max="5" width="13.42578125" bestFit="1" customWidth="1"/>
    <col min="6" max="6" width="14.140625" bestFit="1" customWidth="1"/>
    <col min="7" max="7" width="14.42578125" bestFit="1" customWidth="1"/>
    <col min="10" max="10" width="24.42578125" customWidth="1"/>
    <col min="11" max="11" width="12.85546875" customWidth="1"/>
    <col min="12" max="12" width="12" bestFit="1" customWidth="1"/>
  </cols>
  <sheetData>
    <row r="2" spans="2:14" x14ac:dyDescent="0.25">
      <c r="B2" s="7" t="s">
        <v>2</v>
      </c>
      <c r="C2" s="7" t="s">
        <v>3</v>
      </c>
    </row>
    <row r="3" spans="2:14" ht="15.75" thickBot="1" x14ac:dyDescent="0.3">
      <c r="B3" s="6" t="s">
        <v>0</v>
      </c>
      <c r="C3" s="6" t="s">
        <v>1</v>
      </c>
      <c r="D3" s="6" t="s">
        <v>85</v>
      </c>
      <c r="E3" s="6" t="s">
        <v>84</v>
      </c>
      <c r="F3" s="6" t="s">
        <v>86</v>
      </c>
      <c r="G3" s="6" t="s">
        <v>87</v>
      </c>
      <c r="I3" s="58" t="s">
        <v>105</v>
      </c>
      <c r="J3" s="5" t="s">
        <v>43</v>
      </c>
      <c r="K3" s="4"/>
      <c r="L3" s="82" t="s">
        <v>13</v>
      </c>
      <c r="M3" s="83">
        <f>SLOPE(Peso,lnX)</f>
        <v>173.42506910369403</v>
      </c>
      <c r="N3" s="4"/>
    </row>
    <row r="4" spans="2:14" ht="15" customHeight="1" x14ac:dyDescent="0.25">
      <c r="B4" s="1">
        <v>162</v>
      </c>
      <c r="C4" s="1">
        <v>52.5</v>
      </c>
      <c r="D4" s="89">
        <f>LN(B4)</f>
        <v>5.0875963352323836</v>
      </c>
      <c r="E4" s="89">
        <f t="shared" ref="E4:E35" si="0">$M$5+$M$3*LN(B4)</f>
        <v>54.845033519954086</v>
      </c>
      <c r="F4" s="89">
        <f t="shared" ref="F4:F35" si="1">C4-E4</f>
        <v>-2.3450335199540859</v>
      </c>
      <c r="G4" s="89">
        <f>F4^2</f>
        <v>5.4991822097082501</v>
      </c>
      <c r="H4" s="3"/>
      <c r="I4" s="58"/>
      <c r="J4" s="172" t="s">
        <v>104</v>
      </c>
      <c r="K4" s="4"/>
      <c r="L4" s="13"/>
      <c r="M4" s="9"/>
      <c r="N4" s="4"/>
    </row>
    <row r="5" spans="2:14" x14ac:dyDescent="0.25">
      <c r="B5" s="1">
        <v>182</v>
      </c>
      <c r="C5" s="1">
        <v>76</v>
      </c>
      <c r="D5" s="89">
        <f t="shared" ref="D5:D68" si="2">LN(B5)</f>
        <v>5.2040066870767951</v>
      </c>
      <c r="E5" s="89">
        <f t="shared" si="0"/>
        <v>75.033506832956505</v>
      </c>
      <c r="F5" s="89">
        <f t="shared" si="1"/>
        <v>0.9664931670434953</v>
      </c>
      <c r="G5" s="89">
        <f t="shared" ref="G5:G68" si="3">F5^2</f>
        <v>0.93410904194176569</v>
      </c>
      <c r="I5" s="58"/>
      <c r="J5" s="173"/>
      <c r="K5" s="12"/>
      <c r="L5" s="82" t="s">
        <v>12</v>
      </c>
      <c r="M5" s="83">
        <f>INTERCEPT(Peso,lnX)</f>
        <v>-827.47171248942254</v>
      </c>
      <c r="N5" s="12"/>
    </row>
    <row r="6" spans="2:14" ht="15.75" thickBot="1" x14ac:dyDescent="0.3">
      <c r="B6" s="1">
        <v>185</v>
      </c>
      <c r="C6" s="1">
        <v>84</v>
      </c>
      <c r="D6" s="89">
        <f t="shared" si="2"/>
        <v>5.2203558250783244</v>
      </c>
      <c r="E6" s="89">
        <f t="shared" si="0"/>
        <v>77.86885722065756</v>
      </c>
      <c r="F6" s="89">
        <f t="shared" si="1"/>
        <v>6.13114277934244</v>
      </c>
      <c r="G6" s="89">
        <f t="shared" si="3"/>
        <v>37.590911780682937</v>
      </c>
      <c r="I6" s="58"/>
      <c r="J6" s="174"/>
      <c r="K6" s="4"/>
      <c r="L6" s="8"/>
      <c r="M6" s="4"/>
      <c r="N6" s="4"/>
    </row>
    <row r="7" spans="2:14" x14ac:dyDescent="0.25">
      <c r="B7" s="1">
        <v>170</v>
      </c>
      <c r="C7" s="1">
        <v>60</v>
      </c>
      <c r="D7" s="89">
        <f t="shared" si="2"/>
        <v>5.1357984370502621</v>
      </c>
      <c r="E7" s="89">
        <f t="shared" si="0"/>
        <v>63.204486358662962</v>
      </c>
      <c r="F7" s="89">
        <f t="shared" si="1"/>
        <v>-3.2044863586629617</v>
      </c>
      <c r="G7" s="89">
        <f t="shared" si="3"/>
        <v>10.268732822857007</v>
      </c>
      <c r="I7" s="58"/>
      <c r="J7" s="5"/>
      <c r="K7" s="5"/>
      <c r="L7" s="84" t="s">
        <v>70</v>
      </c>
      <c r="M7" s="85"/>
      <c r="N7" s="5"/>
    </row>
    <row r="8" spans="2:14" x14ac:dyDescent="0.25">
      <c r="B8" s="1">
        <v>172</v>
      </c>
      <c r="C8" s="1">
        <v>72</v>
      </c>
      <c r="D8" s="89">
        <f t="shared" si="2"/>
        <v>5.1474944768134527</v>
      </c>
      <c r="E8" s="89">
        <f t="shared" si="0"/>
        <v>65.232872862833801</v>
      </c>
      <c r="F8" s="89">
        <f t="shared" si="1"/>
        <v>6.7671271371661987</v>
      </c>
      <c r="G8" s="89">
        <f t="shared" si="3"/>
        <v>45.794009690571194</v>
      </c>
    </row>
    <row r="9" spans="2:14" x14ac:dyDescent="0.25">
      <c r="B9" s="1">
        <v>159</v>
      </c>
      <c r="C9" s="1">
        <v>51</v>
      </c>
      <c r="D9" s="89">
        <f t="shared" si="2"/>
        <v>5.0689042022202315</v>
      </c>
      <c r="E9" s="89">
        <f t="shared" si="0"/>
        <v>51.603349060626101</v>
      </c>
      <c r="F9" s="89">
        <f t="shared" si="1"/>
        <v>-0.60334906062610116</v>
      </c>
      <c r="G9" s="89">
        <f t="shared" si="3"/>
        <v>0.36403008895839872</v>
      </c>
    </row>
    <row r="10" spans="2:14" x14ac:dyDescent="0.25">
      <c r="B10" s="1">
        <v>182</v>
      </c>
      <c r="C10" s="1">
        <v>76</v>
      </c>
      <c r="D10" s="89">
        <f t="shared" si="2"/>
        <v>5.2040066870767951</v>
      </c>
      <c r="E10" s="89">
        <f t="shared" si="0"/>
        <v>75.033506832956505</v>
      </c>
      <c r="F10" s="89">
        <f t="shared" si="1"/>
        <v>0.9664931670434953</v>
      </c>
      <c r="G10" s="89">
        <f t="shared" si="3"/>
        <v>0.93410904194176569</v>
      </c>
      <c r="I10" s="175" t="s">
        <v>106</v>
      </c>
    </row>
    <row r="11" spans="2:14" x14ac:dyDescent="0.25">
      <c r="B11" s="2">
        <v>160</v>
      </c>
      <c r="C11" s="1">
        <v>50</v>
      </c>
      <c r="D11" s="89">
        <f t="shared" si="2"/>
        <v>5.0751738152338266</v>
      </c>
      <c r="E11" s="89">
        <f t="shared" si="0"/>
        <v>52.690657130762247</v>
      </c>
      <c r="F11" s="89">
        <f t="shared" si="1"/>
        <v>-2.6906571307622471</v>
      </c>
      <c r="G11" s="89">
        <f t="shared" si="3"/>
        <v>7.2396357953217283</v>
      </c>
    </row>
    <row r="12" spans="2:14" x14ac:dyDescent="0.25">
      <c r="B12" s="1">
        <v>182</v>
      </c>
      <c r="C12" s="1">
        <v>65</v>
      </c>
      <c r="D12" s="89">
        <f t="shared" si="2"/>
        <v>5.2040066870767951</v>
      </c>
      <c r="E12" s="89">
        <f t="shared" si="0"/>
        <v>75.033506832956505</v>
      </c>
      <c r="F12" s="89">
        <f t="shared" si="1"/>
        <v>-10.033506832956505</v>
      </c>
      <c r="G12" s="89">
        <f t="shared" si="3"/>
        <v>100.67125936698487</v>
      </c>
    </row>
    <row r="13" spans="2:14" x14ac:dyDescent="0.25">
      <c r="B13" s="1">
        <v>180</v>
      </c>
      <c r="C13" s="1">
        <v>71</v>
      </c>
      <c r="D13" s="89">
        <f t="shared" si="2"/>
        <v>5.1929568508902104</v>
      </c>
      <c r="E13" s="89">
        <f t="shared" si="0"/>
        <v>73.11718822871353</v>
      </c>
      <c r="F13" s="89">
        <f t="shared" si="1"/>
        <v>-2.1171882287135304</v>
      </c>
      <c r="G13" s="89">
        <f t="shared" si="3"/>
        <v>4.4824859958031364</v>
      </c>
    </row>
    <row r="14" spans="2:14" x14ac:dyDescent="0.25">
      <c r="B14" s="1">
        <v>178</v>
      </c>
      <c r="C14" s="1">
        <v>76</v>
      </c>
      <c r="D14" s="89">
        <f t="shared" si="2"/>
        <v>5.181783550292085</v>
      </c>
      <c r="E14" s="89">
        <f t="shared" si="0"/>
        <v>71.179457800367231</v>
      </c>
      <c r="F14" s="89">
        <f t="shared" si="1"/>
        <v>4.8205421996327686</v>
      </c>
      <c r="G14" s="89">
        <f t="shared" si="3"/>
        <v>23.237627098440331</v>
      </c>
    </row>
    <row r="15" spans="2:14" x14ac:dyDescent="0.25">
      <c r="B15" s="1">
        <v>163</v>
      </c>
      <c r="C15" s="1">
        <v>50</v>
      </c>
      <c r="D15" s="89">
        <f t="shared" si="2"/>
        <v>5.0937502008067623</v>
      </c>
      <c r="E15" s="89">
        <f t="shared" si="0"/>
        <v>55.912268082445507</v>
      </c>
      <c r="F15" s="89">
        <f t="shared" si="1"/>
        <v>-5.9122680824455074</v>
      </c>
      <c r="G15" s="89">
        <f t="shared" si="3"/>
        <v>34.954913878703877</v>
      </c>
    </row>
    <row r="16" spans="2:14" x14ac:dyDescent="0.25">
      <c r="B16" s="1">
        <v>173</v>
      </c>
      <c r="C16" s="1">
        <v>69</v>
      </c>
      <c r="D16" s="89">
        <f t="shared" si="2"/>
        <v>5.1532915944977793</v>
      </c>
      <c r="E16" s="89">
        <f t="shared" si="0"/>
        <v>66.238238397840405</v>
      </c>
      <c r="F16" s="89">
        <f t="shared" si="1"/>
        <v>2.761761602159595</v>
      </c>
      <c r="G16" s="89">
        <f t="shared" si="3"/>
        <v>7.6273271471631334</v>
      </c>
    </row>
    <row r="17" spans="2:15" x14ac:dyDescent="0.25">
      <c r="B17" s="1">
        <v>160</v>
      </c>
      <c r="C17" s="1">
        <v>50</v>
      </c>
      <c r="D17" s="89">
        <f t="shared" si="2"/>
        <v>5.0751738152338266</v>
      </c>
      <c r="E17" s="89">
        <f t="shared" si="0"/>
        <v>52.690657130762247</v>
      </c>
      <c r="F17" s="89">
        <f t="shared" si="1"/>
        <v>-2.6906571307622471</v>
      </c>
      <c r="G17" s="89">
        <f t="shared" si="3"/>
        <v>7.2396357953217283</v>
      </c>
    </row>
    <row r="18" spans="2:15" x14ac:dyDescent="0.25">
      <c r="B18" s="1">
        <v>184</v>
      </c>
      <c r="C18" s="1">
        <v>68</v>
      </c>
      <c r="D18" s="89">
        <f t="shared" si="2"/>
        <v>5.2149357576089859</v>
      </c>
      <c r="E18" s="89">
        <f t="shared" si="0"/>
        <v>76.928881645240835</v>
      </c>
      <c r="F18" s="89">
        <f t="shared" si="1"/>
        <v>-8.9288816452408355</v>
      </c>
      <c r="G18" s="89">
        <f t="shared" si="3"/>
        <v>79.724927434718694</v>
      </c>
    </row>
    <row r="19" spans="2:15" x14ac:dyDescent="0.25">
      <c r="B19" s="1">
        <v>162</v>
      </c>
      <c r="C19" s="1">
        <v>57</v>
      </c>
      <c r="D19" s="89">
        <f t="shared" si="2"/>
        <v>5.0875963352323836</v>
      </c>
      <c r="E19" s="89">
        <f t="shared" si="0"/>
        <v>54.845033519954086</v>
      </c>
      <c r="F19" s="89">
        <f t="shared" si="1"/>
        <v>2.1549664800459141</v>
      </c>
      <c r="G19" s="89">
        <f t="shared" si="3"/>
        <v>4.6438805301214767</v>
      </c>
      <c r="O19" s="59"/>
    </row>
    <row r="20" spans="2:15" x14ac:dyDescent="0.25">
      <c r="B20" s="1">
        <v>165</v>
      </c>
      <c r="C20" s="1">
        <v>56</v>
      </c>
      <c r="D20" s="89">
        <f t="shared" si="2"/>
        <v>5.1059454739005803</v>
      </c>
      <c r="E20" s="89">
        <f t="shared" si="0"/>
        <v>58.027234161479328</v>
      </c>
      <c r="F20" s="89">
        <f t="shared" si="1"/>
        <v>-2.0272341614793277</v>
      </c>
      <c r="G20" s="89">
        <f t="shared" si="3"/>
        <v>4.1096783454687928</v>
      </c>
    </row>
    <row r="21" spans="2:15" x14ac:dyDescent="0.25">
      <c r="B21" s="1">
        <v>165</v>
      </c>
      <c r="C21" s="1">
        <v>50</v>
      </c>
      <c r="D21" s="89">
        <f t="shared" si="2"/>
        <v>5.1059454739005803</v>
      </c>
      <c r="E21" s="89">
        <f t="shared" si="0"/>
        <v>58.027234161479328</v>
      </c>
      <c r="F21" s="89">
        <f t="shared" si="1"/>
        <v>-8.0272341614793277</v>
      </c>
      <c r="G21" s="89">
        <f t="shared" si="3"/>
        <v>64.436488283220726</v>
      </c>
    </row>
    <row r="22" spans="2:15" x14ac:dyDescent="0.25">
      <c r="B22" s="1">
        <v>172</v>
      </c>
      <c r="C22" s="1">
        <v>60</v>
      </c>
      <c r="D22" s="89">
        <f t="shared" si="2"/>
        <v>5.1474944768134527</v>
      </c>
      <c r="E22" s="89">
        <f t="shared" si="0"/>
        <v>65.232872862833801</v>
      </c>
      <c r="F22" s="89">
        <f t="shared" si="1"/>
        <v>-5.2328728628338013</v>
      </c>
      <c r="G22" s="89">
        <f t="shared" si="3"/>
        <v>27.382958398582424</v>
      </c>
    </row>
    <row r="23" spans="2:15" x14ac:dyDescent="0.25">
      <c r="B23" s="2">
        <v>173</v>
      </c>
      <c r="C23" s="1">
        <v>59</v>
      </c>
      <c r="D23" s="89">
        <f t="shared" si="2"/>
        <v>5.1532915944977793</v>
      </c>
      <c r="E23" s="89">
        <f t="shared" si="0"/>
        <v>66.238238397840405</v>
      </c>
      <c r="F23" s="89">
        <f t="shared" si="1"/>
        <v>-7.238238397840405</v>
      </c>
      <c r="G23" s="89">
        <f t="shared" si="3"/>
        <v>52.392095103971236</v>
      </c>
    </row>
    <row r="24" spans="2:15" x14ac:dyDescent="0.25">
      <c r="B24" s="1">
        <v>167</v>
      </c>
      <c r="C24" s="1">
        <v>61</v>
      </c>
      <c r="D24" s="89">
        <f t="shared" si="2"/>
        <v>5.1179938124167554</v>
      </c>
      <c r="E24" s="89">
        <f t="shared" si="0"/>
        <v>60.116718101231754</v>
      </c>
      <c r="F24" s="89">
        <f t="shared" si="1"/>
        <v>0.88328189876824581</v>
      </c>
      <c r="G24" s="89">
        <f t="shared" si="3"/>
        <v>0.78018691269163765</v>
      </c>
      <c r="I24" s="58"/>
    </row>
    <row r="25" spans="2:15" x14ac:dyDescent="0.25">
      <c r="B25" s="2">
        <v>174</v>
      </c>
      <c r="C25" s="1">
        <v>59.8</v>
      </c>
      <c r="D25" s="89">
        <f t="shared" si="2"/>
        <v>5.1590552992145291</v>
      </c>
      <c r="E25" s="89">
        <f t="shared" si="0"/>
        <v>67.237809286636093</v>
      </c>
      <c r="F25" s="89">
        <f t="shared" si="1"/>
        <v>-7.4378092866360959</v>
      </c>
      <c r="G25" s="89">
        <f t="shared" si="3"/>
        <v>55.32100698437015</v>
      </c>
      <c r="I25" s="58"/>
    </row>
    <row r="26" spans="2:15" x14ac:dyDescent="0.25">
      <c r="B26" s="1">
        <v>173</v>
      </c>
      <c r="C26" s="1">
        <v>73</v>
      </c>
      <c r="D26" s="89">
        <f t="shared" si="2"/>
        <v>5.1532915944977793</v>
      </c>
      <c r="E26" s="89">
        <f t="shared" si="0"/>
        <v>66.238238397840405</v>
      </c>
      <c r="F26" s="89">
        <f t="shared" si="1"/>
        <v>6.761761602159595</v>
      </c>
      <c r="G26" s="89">
        <f t="shared" si="3"/>
        <v>45.721419964439896</v>
      </c>
      <c r="I26" s="58" t="s">
        <v>107</v>
      </c>
      <c r="J26" s="5" t="s">
        <v>10</v>
      </c>
      <c r="K26" s="160">
        <f>COUNT(B4:B140)</f>
        <v>137</v>
      </c>
    </row>
    <row r="27" spans="2:15" x14ac:dyDescent="0.25">
      <c r="B27" s="1">
        <v>171</v>
      </c>
      <c r="C27" s="1">
        <v>66</v>
      </c>
      <c r="D27" s="89">
        <f t="shared" si="2"/>
        <v>5.1416635565026603</v>
      </c>
      <c r="E27" s="89">
        <f t="shared" si="0"/>
        <v>64.221645104996469</v>
      </c>
      <c r="F27" s="89">
        <f t="shared" si="1"/>
        <v>1.7783548950035311</v>
      </c>
      <c r="G27" s="89">
        <f t="shared" si="3"/>
        <v>3.16254613258302</v>
      </c>
      <c r="I27" s="58"/>
      <c r="J27" s="5" t="s">
        <v>7</v>
      </c>
      <c r="K27" s="86">
        <f>G141/K26</f>
        <v>51.747552040929378</v>
      </c>
    </row>
    <row r="28" spans="2:15" x14ac:dyDescent="0.25">
      <c r="B28" s="1">
        <v>177</v>
      </c>
      <c r="C28" s="1">
        <v>65</v>
      </c>
      <c r="D28" s="89">
        <f t="shared" si="2"/>
        <v>5.1761497325738288</v>
      </c>
      <c r="E28" s="89">
        <f t="shared" si="0"/>
        <v>70.202412573261086</v>
      </c>
      <c r="F28" s="89">
        <f t="shared" si="1"/>
        <v>-5.2024125732610855</v>
      </c>
      <c r="G28" s="89">
        <f t="shared" si="3"/>
        <v>27.065096582425028</v>
      </c>
      <c r="I28" s="58"/>
      <c r="J28" s="5" t="s">
        <v>89</v>
      </c>
      <c r="K28" s="10">
        <f>_xlfn.VAR.P(Peso)</f>
        <v>135.20064681123196</v>
      </c>
    </row>
    <row r="29" spans="2:15" x14ac:dyDescent="0.25">
      <c r="B29" s="1">
        <v>170</v>
      </c>
      <c r="C29" s="1">
        <v>59</v>
      </c>
      <c r="D29" s="89">
        <f t="shared" si="2"/>
        <v>5.1357984370502621</v>
      </c>
      <c r="E29" s="89">
        <f t="shared" si="0"/>
        <v>63.204486358662962</v>
      </c>
      <c r="F29" s="89">
        <f t="shared" si="1"/>
        <v>-4.2044863586629617</v>
      </c>
      <c r="G29" s="89">
        <f t="shared" si="3"/>
        <v>17.677705540182931</v>
      </c>
      <c r="I29" s="58"/>
      <c r="J29" s="5" t="s">
        <v>90</v>
      </c>
      <c r="K29" s="10">
        <f>K28-K27</f>
        <v>83.453094770302584</v>
      </c>
    </row>
    <row r="30" spans="2:15" ht="17.25" x14ac:dyDescent="0.25">
      <c r="B30" s="1">
        <v>163.5</v>
      </c>
      <c r="C30" s="1">
        <v>42.5</v>
      </c>
      <c r="D30" s="89">
        <f t="shared" si="2"/>
        <v>5.0968129903373081</v>
      </c>
      <c r="E30" s="89">
        <f t="shared" si="0"/>
        <v>56.443432568430467</v>
      </c>
      <c r="F30" s="89">
        <f t="shared" si="1"/>
        <v>-13.943432568430467</v>
      </c>
      <c r="G30" s="89">
        <f t="shared" si="3"/>
        <v>194.41931179036743</v>
      </c>
      <c r="I30" s="58"/>
      <c r="J30" s="5" t="s">
        <v>110</v>
      </c>
      <c r="K30" s="87">
        <f>K29/K28</f>
        <v>0.61725366511611701</v>
      </c>
      <c r="M30" s="5" t="s">
        <v>9</v>
      </c>
      <c r="N30" s="10">
        <f>SQRT(K30)</f>
        <v>0.78565492750705579</v>
      </c>
    </row>
    <row r="31" spans="2:15" ht="17.25" x14ac:dyDescent="0.25">
      <c r="B31" s="1">
        <v>150</v>
      </c>
      <c r="C31" s="1">
        <v>45</v>
      </c>
      <c r="D31" s="89">
        <f t="shared" si="2"/>
        <v>5.0106352940962555</v>
      </c>
      <c r="E31" s="89">
        <f t="shared" si="0"/>
        <v>41.498059642628846</v>
      </c>
      <c r="F31" s="89">
        <f t="shared" si="1"/>
        <v>3.5019403573711543</v>
      </c>
      <c r="G31" s="89">
        <f t="shared" si="3"/>
        <v>12.263586266584808</v>
      </c>
      <c r="I31" s="58"/>
      <c r="J31" s="5" t="s">
        <v>111</v>
      </c>
      <c r="K31" s="11">
        <f>RSQ(Peso,lnX)</f>
        <v>0.61725366511611413</v>
      </c>
      <c r="M31" s="53" t="s">
        <v>109</v>
      </c>
    </row>
    <row r="32" spans="2:15" x14ac:dyDescent="0.25">
      <c r="B32" s="1">
        <v>175</v>
      </c>
      <c r="C32" s="1">
        <v>65</v>
      </c>
      <c r="D32" s="89">
        <f t="shared" si="2"/>
        <v>5.1647859739235145</v>
      </c>
      <c r="E32" s="89">
        <f t="shared" si="0"/>
        <v>68.231651944052601</v>
      </c>
      <c r="F32" s="89">
        <f t="shared" si="1"/>
        <v>-3.2316519440526008</v>
      </c>
      <c r="G32" s="89">
        <f t="shared" si="3"/>
        <v>10.443574287498954</v>
      </c>
    </row>
    <row r="33" spans="2:18" x14ac:dyDescent="0.25">
      <c r="B33" s="1">
        <v>180</v>
      </c>
      <c r="C33" s="1">
        <v>70</v>
      </c>
      <c r="D33" s="89">
        <f t="shared" si="2"/>
        <v>5.1929568508902104</v>
      </c>
      <c r="E33" s="89">
        <f t="shared" si="0"/>
        <v>73.11718822871353</v>
      </c>
      <c r="F33" s="89">
        <f t="shared" si="1"/>
        <v>-3.1171882287135304</v>
      </c>
      <c r="G33" s="89">
        <f t="shared" si="3"/>
        <v>9.7168624532301973</v>
      </c>
    </row>
    <row r="34" spans="2:18" ht="15.75" x14ac:dyDescent="0.3">
      <c r="B34" s="1">
        <v>172</v>
      </c>
      <c r="C34" s="1">
        <v>67</v>
      </c>
      <c r="D34" s="89">
        <f t="shared" si="2"/>
        <v>5.1474944768134527</v>
      </c>
      <c r="E34" s="89">
        <f t="shared" si="0"/>
        <v>65.232872862833801</v>
      </c>
      <c r="F34" s="89">
        <f t="shared" si="1"/>
        <v>1.7671271371661987</v>
      </c>
      <c r="G34" s="89">
        <f t="shared" si="3"/>
        <v>3.1227383189092053</v>
      </c>
      <c r="I34" s="58" t="s">
        <v>108</v>
      </c>
      <c r="J34" s="5" t="s">
        <v>0</v>
      </c>
      <c r="K34" s="160">
        <v>180</v>
      </c>
      <c r="L34" s="5" t="s">
        <v>88</v>
      </c>
      <c r="O34" s="176" t="s">
        <v>112</v>
      </c>
      <c r="P34" s="178">
        <f>MAX(Estatura)</f>
        <v>193</v>
      </c>
      <c r="Q34" s="176" t="s">
        <v>113</v>
      </c>
      <c r="R34" s="178">
        <f>MIN(Estatura)</f>
        <v>150</v>
      </c>
    </row>
    <row r="35" spans="2:18" x14ac:dyDescent="0.25">
      <c r="B35" s="1">
        <v>185</v>
      </c>
      <c r="C35" s="1">
        <v>85</v>
      </c>
      <c r="D35" s="89">
        <f t="shared" si="2"/>
        <v>5.2203558250783244</v>
      </c>
      <c r="E35" s="89">
        <f t="shared" si="0"/>
        <v>77.86885722065756</v>
      </c>
      <c r="F35" s="89">
        <f t="shared" si="1"/>
        <v>7.13114277934244</v>
      </c>
      <c r="G35" s="89">
        <f t="shared" si="3"/>
        <v>50.853197339367817</v>
      </c>
      <c r="I35" s="58"/>
      <c r="J35" s="5" t="s">
        <v>8</v>
      </c>
      <c r="K35" s="88">
        <f>M5+M3*LN(K34)</f>
        <v>73.11718822871353</v>
      </c>
      <c r="L35" s="5" t="s">
        <v>4</v>
      </c>
    </row>
    <row r="36" spans="2:18" x14ac:dyDescent="0.25">
      <c r="B36" s="1">
        <v>167</v>
      </c>
      <c r="C36" s="1">
        <v>48</v>
      </c>
      <c r="D36" s="89">
        <f t="shared" si="2"/>
        <v>5.1179938124167554</v>
      </c>
      <c r="E36" s="89">
        <f t="shared" ref="E36:E67" si="4">$M$5+$M$3*LN(B36)</f>
        <v>60.116718101231754</v>
      </c>
      <c r="F36" s="89">
        <f t="shared" ref="F36:F67" si="5">C36-E36</f>
        <v>-12.116718101231754</v>
      </c>
      <c r="G36" s="89">
        <f t="shared" si="3"/>
        <v>146.81485754471726</v>
      </c>
      <c r="I36" s="58"/>
      <c r="J36" s="8" t="s">
        <v>96</v>
      </c>
      <c r="K36" s="4"/>
      <c r="L36" s="4"/>
      <c r="M36" s="4"/>
      <c r="N36" s="4"/>
      <c r="O36" s="4"/>
      <c r="P36" s="4"/>
    </row>
    <row r="37" spans="2:18" x14ac:dyDescent="0.25">
      <c r="B37" s="1">
        <v>165</v>
      </c>
      <c r="C37" s="1">
        <v>57</v>
      </c>
      <c r="D37" s="89">
        <f t="shared" si="2"/>
        <v>5.1059454739005803</v>
      </c>
      <c r="E37" s="89">
        <f t="shared" si="4"/>
        <v>58.027234161479328</v>
      </c>
      <c r="F37" s="89">
        <f t="shared" si="5"/>
        <v>-1.0272341614793277</v>
      </c>
      <c r="G37" s="89">
        <f t="shared" si="3"/>
        <v>1.0552100225101375</v>
      </c>
      <c r="I37" s="58"/>
      <c r="J37" s="8" t="s">
        <v>50</v>
      </c>
      <c r="K37" s="4"/>
      <c r="L37" s="4"/>
      <c r="M37" s="4"/>
      <c r="N37" s="4"/>
      <c r="O37" s="4"/>
      <c r="P37" s="4"/>
    </row>
    <row r="38" spans="2:18" x14ac:dyDescent="0.25">
      <c r="B38" s="1">
        <v>165</v>
      </c>
      <c r="C38" s="1">
        <v>58</v>
      </c>
      <c r="D38" s="89">
        <f t="shared" si="2"/>
        <v>5.1059454739005803</v>
      </c>
      <c r="E38" s="89">
        <f t="shared" si="4"/>
        <v>58.027234161479328</v>
      </c>
      <c r="F38" s="89">
        <f t="shared" si="5"/>
        <v>-2.7234161479327668E-2</v>
      </c>
      <c r="G38" s="89">
        <f t="shared" si="3"/>
        <v>7.4169955148209498E-4</v>
      </c>
    </row>
    <row r="39" spans="2:18" x14ac:dyDescent="0.25">
      <c r="B39" s="1">
        <v>163</v>
      </c>
      <c r="C39" s="1">
        <v>58</v>
      </c>
      <c r="D39" s="89">
        <f t="shared" si="2"/>
        <v>5.0937502008067623</v>
      </c>
      <c r="E39" s="89">
        <f t="shared" si="4"/>
        <v>55.912268082445507</v>
      </c>
      <c r="F39" s="89">
        <f t="shared" si="5"/>
        <v>2.0877319175544926</v>
      </c>
      <c r="G39" s="89">
        <f t="shared" si="3"/>
        <v>4.3586245595757589</v>
      </c>
      <c r="J39" s="5" t="s">
        <v>0</v>
      </c>
      <c r="K39" s="160">
        <v>190</v>
      </c>
      <c r="L39" s="5" t="s">
        <v>88</v>
      </c>
    </row>
    <row r="40" spans="2:18" x14ac:dyDescent="0.25">
      <c r="B40" s="1">
        <v>183</v>
      </c>
      <c r="C40" s="1">
        <v>78</v>
      </c>
      <c r="D40" s="89">
        <f t="shared" si="2"/>
        <v>5.2094861528414214</v>
      </c>
      <c r="E40" s="89">
        <f t="shared" si="4"/>
        <v>75.983783561838095</v>
      </c>
      <c r="F40" s="89">
        <f t="shared" si="5"/>
        <v>2.016216438161905</v>
      </c>
      <c r="G40" s="89">
        <f t="shared" si="3"/>
        <v>4.0651287255142785</v>
      </c>
      <c r="J40" s="5" t="s">
        <v>8</v>
      </c>
      <c r="K40" s="88">
        <f>M5+M3*LN(K39)</f>
        <v>82.4937998137558</v>
      </c>
      <c r="L40" s="5" t="s">
        <v>4</v>
      </c>
    </row>
    <row r="41" spans="2:18" x14ac:dyDescent="0.25">
      <c r="B41" s="1">
        <v>165</v>
      </c>
      <c r="C41" s="1">
        <v>50</v>
      </c>
      <c r="D41" s="89">
        <f t="shared" si="2"/>
        <v>5.1059454739005803</v>
      </c>
      <c r="E41" s="89">
        <f t="shared" si="4"/>
        <v>58.027234161479328</v>
      </c>
      <c r="F41" s="89">
        <f t="shared" si="5"/>
        <v>-8.0272341614793277</v>
      </c>
      <c r="G41" s="89">
        <f t="shared" si="3"/>
        <v>64.436488283220726</v>
      </c>
      <c r="J41" s="8" t="s">
        <v>49</v>
      </c>
      <c r="K41" s="4"/>
      <c r="L41" s="4"/>
      <c r="M41" s="4"/>
      <c r="N41" s="4"/>
      <c r="O41" s="4"/>
      <c r="P41" s="4"/>
    </row>
    <row r="42" spans="2:18" x14ac:dyDescent="0.25">
      <c r="B42" s="1">
        <v>180</v>
      </c>
      <c r="C42" s="1">
        <v>71</v>
      </c>
      <c r="D42" s="89">
        <f t="shared" si="2"/>
        <v>5.1929568508902104</v>
      </c>
      <c r="E42" s="89">
        <f t="shared" si="4"/>
        <v>73.11718822871353</v>
      </c>
      <c r="F42" s="89">
        <f t="shared" si="5"/>
        <v>-2.1171882287135304</v>
      </c>
      <c r="G42" s="89">
        <f t="shared" si="3"/>
        <v>4.4824859958031364</v>
      </c>
      <c r="J42" s="8" t="s">
        <v>50</v>
      </c>
      <c r="K42" s="4"/>
      <c r="L42" s="4"/>
      <c r="M42" s="4"/>
      <c r="N42" s="4"/>
      <c r="O42" s="4"/>
      <c r="P42" s="4"/>
    </row>
    <row r="43" spans="2:18" x14ac:dyDescent="0.25">
      <c r="B43" s="1">
        <v>171</v>
      </c>
      <c r="C43" s="1">
        <v>70</v>
      </c>
      <c r="D43" s="89">
        <f t="shared" si="2"/>
        <v>5.1416635565026603</v>
      </c>
      <c r="E43" s="89">
        <f t="shared" si="4"/>
        <v>64.221645104996469</v>
      </c>
      <c r="F43" s="89">
        <f t="shared" si="5"/>
        <v>5.7783548950035311</v>
      </c>
      <c r="G43" s="89">
        <f t="shared" si="3"/>
        <v>33.389385292611266</v>
      </c>
    </row>
    <row r="44" spans="2:18" x14ac:dyDescent="0.25">
      <c r="B44" s="1">
        <v>165</v>
      </c>
      <c r="C44" s="1">
        <v>60</v>
      </c>
      <c r="D44" s="89">
        <f t="shared" si="2"/>
        <v>5.1059454739005803</v>
      </c>
      <c r="E44" s="89">
        <f t="shared" si="4"/>
        <v>58.027234161479328</v>
      </c>
      <c r="F44" s="89">
        <f t="shared" si="5"/>
        <v>1.9727658385206723</v>
      </c>
      <c r="G44" s="89">
        <f t="shared" si="3"/>
        <v>3.8918050536341715</v>
      </c>
      <c r="J44" s="5" t="s">
        <v>0</v>
      </c>
      <c r="K44" s="160">
        <v>210</v>
      </c>
      <c r="L44" s="5" t="s">
        <v>88</v>
      </c>
    </row>
    <row r="45" spans="2:18" x14ac:dyDescent="0.25">
      <c r="B45" s="1">
        <v>186</v>
      </c>
      <c r="C45" s="1">
        <v>71</v>
      </c>
      <c r="D45" s="89">
        <f t="shared" si="2"/>
        <v>5.2257466737132017</v>
      </c>
      <c r="E45" s="89">
        <f t="shared" si="4"/>
        <v>78.803765517688703</v>
      </c>
      <c r="F45" s="89">
        <f t="shared" si="5"/>
        <v>-7.8037655176887029</v>
      </c>
      <c r="G45" s="89">
        <f t="shared" si="3"/>
        <v>60.898756255067227</v>
      </c>
      <c r="J45" s="5" t="s">
        <v>8</v>
      </c>
      <c r="K45" s="88">
        <f>M5+M3*LN(K44)</f>
        <v>99.850780530137172</v>
      </c>
      <c r="L45" s="5" t="s">
        <v>4</v>
      </c>
    </row>
    <row r="46" spans="2:18" x14ac:dyDescent="0.25">
      <c r="B46" s="2">
        <v>187</v>
      </c>
      <c r="C46" s="1">
        <v>82</v>
      </c>
      <c r="D46" s="89">
        <f t="shared" si="2"/>
        <v>5.2311086168545868</v>
      </c>
      <c r="E46" s="89">
        <f t="shared" si="4"/>
        <v>79.733660877513444</v>
      </c>
      <c r="F46" s="89">
        <f t="shared" si="5"/>
        <v>2.2663391224865563</v>
      </c>
      <c r="G46" s="89">
        <f t="shared" si="3"/>
        <v>5.1362930181131343</v>
      </c>
      <c r="J46" s="8" t="s">
        <v>97</v>
      </c>
      <c r="K46" s="4"/>
      <c r="L46" s="4"/>
      <c r="M46" s="4"/>
      <c r="N46" s="4"/>
      <c r="O46" s="4"/>
      <c r="P46" s="4"/>
    </row>
    <row r="47" spans="2:18" x14ac:dyDescent="0.25">
      <c r="B47" s="2">
        <v>175</v>
      </c>
      <c r="C47" s="1">
        <v>70</v>
      </c>
      <c r="D47" s="89">
        <f t="shared" si="2"/>
        <v>5.1647859739235145</v>
      </c>
      <c r="E47" s="89">
        <f t="shared" si="4"/>
        <v>68.231651944052601</v>
      </c>
      <c r="F47" s="89">
        <f t="shared" si="5"/>
        <v>1.7683480559473992</v>
      </c>
      <c r="G47" s="89">
        <f t="shared" si="3"/>
        <v>3.1270548469729462</v>
      </c>
      <c r="J47" s="8" t="s">
        <v>98</v>
      </c>
      <c r="K47" s="4"/>
      <c r="L47" s="4"/>
      <c r="M47" s="4"/>
      <c r="N47" s="4"/>
      <c r="O47" s="4"/>
      <c r="P47" s="4"/>
    </row>
    <row r="48" spans="2:18" x14ac:dyDescent="0.25">
      <c r="B48" s="2">
        <v>180</v>
      </c>
      <c r="C48" s="1">
        <v>71</v>
      </c>
      <c r="D48" s="89">
        <f t="shared" si="2"/>
        <v>5.1929568508902104</v>
      </c>
      <c r="E48" s="89">
        <f t="shared" si="4"/>
        <v>73.11718822871353</v>
      </c>
      <c r="F48" s="89">
        <f t="shared" si="5"/>
        <v>-2.1171882287135304</v>
      </c>
      <c r="G48" s="89">
        <f t="shared" si="3"/>
        <v>4.4824859958031364</v>
      </c>
    </row>
    <row r="49" spans="2:15" ht="17.25" x14ac:dyDescent="0.25">
      <c r="B49" s="2">
        <v>180</v>
      </c>
      <c r="C49" s="1">
        <v>70</v>
      </c>
      <c r="D49" s="89">
        <f t="shared" si="2"/>
        <v>5.1929568508902104</v>
      </c>
      <c r="E49" s="89">
        <f t="shared" si="4"/>
        <v>73.11718822871353</v>
      </c>
      <c r="F49" s="89">
        <f t="shared" si="5"/>
        <v>-3.1171882287135304</v>
      </c>
      <c r="G49" s="89">
        <f t="shared" si="3"/>
        <v>9.7168624532301973</v>
      </c>
      <c r="I49" s="58" t="s">
        <v>5</v>
      </c>
      <c r="J49" s="8" t="s">
        <v>114</v>
      </c>
      <c r="K49" s="4"/>
      <c r="L49" s="4"/>
      <c r="M49" s="4"/>
      <c r="N49" s="4"/>
      <c r="O49" s="4"/>
    </row>
    <row r="50" spans="2:15" x14ac:dyDescent="0.25">
      <c r="B50" s="1">
        <v>168</v>
      </c>
      <c r="C50" s="1">
        <v>65</v>
      </c>
      <c r="D50" s="89">
        <f t="shared" si="2"/>
        <v>5.1239639794032588</v>
      </c>
      <c r="E50" s="89">
        <f t="shared" si="4"/>
        <v>61.152094723426671</v>
      </c>
      <c r="F50" s="89">
        <f t="shared" si="5"/>
        <v>3.8479052765733286</v>
      </c>
      <c r="G50" s="89">
        <f t="shared" si="3"/>
        <v>14.806375017480864</v>
      </c>
      <c r="J50" s="4" t="s">
        <v>11</v>
      </c>
      <c r="K50" s="4"/>
      <c r="L50" s="4"/>
      <c r="M50" s="4"/>
      <c r="N50" s="4"/>
      <c r="O50" s="4"/>
    </row>
    <row r="51" spans="2:15" x14ac:dyDescent="0.25">
      <c r="B51" s="1">
        <v>190</v>
      </c>
      <c r="C51" s="1">
        <v>75</v>
      </c>
      <c r="D51" s="89">
        <f t="shared" si="2"/>
        <v>5.2470240721604862</v>
      </c>
      <c r="E51" s="89">
        <f t="shared" si="4"/>
        <v>82.4937998137558</v>
      </c>
      <c r="F51" s="89">
        <f t="shared" si="5"/>
        <v>-7.4937998137557997</v>
      </c>
      <c r="G51" s="89">
        <f t="shared" si="3"/>
        <v>56.157035648646456</v>
      </c>
    </row>
    <row r="52" spans="2:15" x14ac:dyDescent="0.25">
      <c r="B52" s="1">
        <v>187</v>
      </c>
      <c r="C52" s="1">
        <v>70</v>
      </c>
      <c r="D52" s="89">
        <f t="shared" si="2"/>
        <v>5.2311086168545868</v>
      </c>
      <c r="E52" s="89">
        <f t="shared" si="4"/>
        <v>79.733660877513444</v>
      </c>
      <c r="F52" s="89">
        <f t="shared" si="5"/>
        <v>-9.7336608775134437</v>
      </c>
      <c r="G52" s="89">
        <f t="shared" si="3"/>
        <v>94.744154078435784</v>
      </c>
    </row>
    <row r="53" spans="2:15" x14ac:dyDescent="0.25">
      <c r="B53" s="1">
        <v>169</v>
      </c>
      <c r="C53" s="1">
        <v>72</v>
      </c>
      <c r="D53" s="89">
        <f t="shared" si="2"/>
        <v>5.1298987149230735</v>
      </c>
      <c r="E53" s="89">
        <f t="shared" si="4"/>
        <v>62.181326641062697</v>
      </c>
      <c r="F53" s="89">
        <f t="shared" si="5"/>
        <v>9.8186733589373034</v>
      </c>
      <c r="G53" s="89">
        <f t="shared" si="3"/>
        <v>96.406346529505143</v>
      </c>
    </row>
    <row r="54" spans="2:15" x14ac:dyDescent="0.25">
      <c r="B54" s="1">
        <v>175</v>
      </c>
      <c r="C54" s="1">
        <v>73</v>
      </c>
      <c r="D54" s="89">
        <f t="shared" si="2"/>
        <v>5.1647859739235145</v>
      </c>
      <c r="E54" s="89">
        <f t="shared" si="4"/>
        <v>68.231651944052601</v>
      </c>
      <c r="F54" s="89">
        <f t="shared" si="5"/>
        <v>4.7683480559473992</v>
      </c>
      <c r="G54" s="89">
        <f t="shared" si="3"/>
        <v>22.737143182657341</v>
      </c>
    </row>
    <row r="55" spans="2:15" x14ac:dyDescent="0.25">
      <c r="B55" s="1">
        <v>165</v>
      </c>
      <c r="C55" s="1">
        <v>75</v>
      </c>
      <c r="D55" s="89">
        <f t="shared" si="2"/>
        <v>5.1059454739005803</v>
      </c>
      <c r="E55" s="89">
        <f t="shared" si="4"/>
        <v>58.027234161479328</v>
      </c>
      <c r="F55" s="89">
        <f t="shared" si="5"/>
        <v>16.972765838520672</v>
      </c>
      <c r="G55" s="89">
        <f t="shared" si="3"/>
        <v>288.07478020925436</v>
      </c>
    </row>
    <row r="56" spans="2:15" x14ac:dyDescent="0.25">
      <c r="B56" s="1">
        <v>176</v>
      </c>
      <c r="C56" s="1">
        <v>90</v>
      </c>
      <c r="D56" s="89">
        <f t="shared" si="2"/>
        <v>5.1704839950381514</v>
      </c>
      <c r="E56" s="89">
        <f t="shared" si="4"/>
        <v>69.219831649612843</v>
      </c>
      <c r="F56" s="89">
        <f t="shared" si="5"/>
        <v>20.780168350387157</v>
      </c>
      <c r="G56" s="89">
        <f t="shared" si="3"/>
        <v>431.81539667043211</v>
      </c>
    </row>
    <row r="57" spans="2:15" x14ac:dyDescent="0.25">
      <c r="B57" s="1">
        <v>178</v>
      </c>
      <c r="C57" s="1">
        <v>67.5</v>
      </c>
      <c r="D57" s="89">
        <f t="shared" si="2"/>
        <v>5.181783550292085</v>
      </c>
      <c r="E57" s="89">
        <f t="shared" si="4"/>
        <v>71.179457800367231</v>
      </c>
      <c r="F57" s="89">
        <f t="shared" si="5"/>
        <v>-3.6794578003672314</v>
      </c>
      <c r="G57" s="89">
        <f t="shared" si="3"/>
        <v>13.538409704683264</v>
      </c>
    </row>
    <row r="58" spans="2:15" x14ac:dyDescent="0.25">
      <c r="B58" s="1">
        <v>165</v>
      </c>
      <c r="C58" s="1">
        <v>70</v>
      </c>
      <c r="D58" s="89">
        <f t="shared" si="2"/>
        <v>5.1059454739005803</v>
      </c>
      <c r="E58" s="89">
        <f t="shared" si="4"/>
        <v>58.027234161479328</v>
      </c>
      <c r="F58" s="89">
        <f t="shared" si="5"/>
        <v>11.972765838520672</v>
      </c>
      <c r="G58" s="89">
        <f t="shared" si="3"/>
        <v>143.3471218240476</v>
      </c>
    </row>
    <row r="59" spans="2:15" x14ac:dyDescent="0.25">
      <c r="B59" s="1">
        <v>174</v>
      </c>
      <c r="C59" s="1">
        <v>70</v>
      </c>
      <c r="D59" s="89">
        <f t="shared" si="2"/>
        <v>5.1590552992145291</v>
      </c>
      <c r="E59" s="89">
        <f t="shared" si="4"/>
        <v>67.237809286636093</v>
      </c>
      <c r="F59" s="89">
        <f t="shared" si="5"/>
        <v>2.762190713363907</v>
      </c>
      <c r="G59" s="89">
        <f t="shared" si="3"/>
        <v>7.6296975369938096</v>
      </c>
    </row>
    <row r="60" spans="2:15" x14ac:dyDescent="0.25">
      <c r="B60" s="1">
        <v>175</v>
      </c>
      <c r="C60" s="1">
        <v>70</v>
      </c>
      <c r="D60" s="89">
        <f t="shared" si="2"/>
        <v>5.1647859739235145</v>
      </c>
      <c r="E60" s="89">
        <f t="shared" si="4"/>
        <v>68.231651944052601</v>
      </c>
      <c r="F60" s="89">
        <f t="shared" si="5"/>
        <v>1.7683480559473992</v>
      </c>
      <c r="G60" s="89">
        <f t="shared" si="3"/>
        <v>3.1270548469729462</v>
      </c>
    </row>
    <row r="61" spans="2:15" x14ac:dyDescent="0.25">
      <c r="B61" s="2">
        <v>158</v>
      </c>
      <c r="C61" s="1">
        <v>45</v>
      </c>
      <c r="D61" s="89">
        <f t="shared" si="2"/>
        <v>5.0625950330269669</v>
      </c>
      <c r="E61" s="89">
        <f t="shared" si="4"/>
        <v>50.509180957297303</v>
      </c>
      <c r="F61" s="89">
        <f t="shared" si="5"/>
        <v>-5.5091809572973034</v>
      </c>
      <c r="G61" s="89">
        <f t="shared" si="3"/>
        <v>30.351074820247231</v>
      </c>
    </row>
    <row r="62" spans="2:15" x14ac:dyDescent="0.25">
      <c r="B62" s="2">
        <v>175</v>
      </c>
      <c r="C62" s="1">
        <v>80</v>
      </c>
      <c r="D62" s="89">
        <f t="shared" si="2"/>
        <v>5.1647859739235145</v>
      </c>
      <c r="E62" s="89">
        <f t="shared" si="4"/>
        <v>68.231651944052601</v>
      </c>
      <c r="F62" s="89">
        <f t="shared" si="5"/>
        <v>11.768348055947399</v>
      </c>
      <c r="G62" s="89">
        <f t="shared" si="3"/>
        <v>138.49401596592094</v>
      </c>
    </row>
    <row r="63" spans="2:15" x14ac:dyDescent="0.25">
      <c r="B63" s="2">
        <v>190</v>
      </c>
      <c r="C63" s="1">
        <v>80</v>
      </c>
      <c r="D63" s="89">
        <f t="shared" si="2"/>
        <v>5.2470240721604862</v>
      </c>
      <c r="E63" s="89">
        <f t="shared" si="4"/>
        <v>82.4937998137558</v>
      </c>
      <c r="F63" s="89">
        <f t="shared" si="5"/>
        <v>-2.4937998137557997</v>
      </c>
      <c r="G63" s="89">
        <f t="shared" si="3"/>
        <v>6.2190375110884615</v>
      </c>
    </row>
    <row r="64" spans="2:15" x14ac:dyDescent="0.25">
      <c r="B64" s="2">
        <v>178</v>
      </c>
      <c r="C64" s="1">
        <v>72</v>
      </c>
      <c r="D64" s="89">
        <f t="shared" si="2"/>
        <v>5.181783550292085</v>
      </c>
      <c r="E64" s="89">
        <f t="shared" si="4"/>
        <v>71.179457800367231</v>
      </c>
      <c r="F64" s="89">
        <f t="shared" si="5"/>
        <v>0.82054219963276864</v>
      </c>
      <c r="G64" s="89">
        <f t="shared" si="3"/>
        <v>0.67328950137818233</v>
      </c>
    </row>
    <row r="65" spans="2:7" x14ac:dyDescent="0.25">
      <c r="B65" s="2">
        <v>166</v>
      </c>
      <c r="C65" s="1">
        <v>62</v>
      </c>
      <c r="D65" s="89">
        <f t="shared" si="2"/>
        <v>5.1119877883565437</v>
      </c>
      <c r="E65" s="89">
        <f t="shared" si="4"/>
        <v>59.075122963551053</v>
      </c>
      <c r="F65" s="89">
        <f t="shared" si="5"/>
        <v>2.9248770364489474</v>
      </c>
      <c r="G65" s="89">
        <f t="shared" si="3"/>
        <v>8.5549056783463762</v>
      </c>
    </row>
    <row r="66" spans="2:7" x14ac:dyDescent="0.25">
      <c r="B66" s="2">
        <v>180</v>
      </c>
      <c r="C66" s="1">
        <v>82</v>
      </c>
      <c r="D66" s="89">
        <f t="shared" si="2"/>
        <v>5.1929568508902104</v>
      </c>
      <c r="E66" s="89">
        <f t="shared" si="4"/>
        <v>73.11718822871353</v>
      </c>
      <c r="F66" s="89">
        <f t="shared" si="5"/>
        <v>8.8828117712864696</v>
      </c>
      <c r="G66" s="89">
        <f t="shared" si="3"/>
        <v>78.904344964105462</v>
      </c>
    </row>
    <row r="67" spans="2:7" x14ac:dyDescent="0.25">
      <c r="B67" s="2">
        <v>189</v>
      </c>
      <c r="C67" s="1">
        <v>85</v>
      </c>
      <c r="D67" s="89">
        <f t="shared" si="2"/>
        <v>5.2417470150596426</v>
      </c>
      <c r="E67" s="89">
        <f t="shared" si="4"/>
        <v>81.578625821377841</v>
      </c>
      <c r="F67" s="89">
        <f t="shared" si="5"/>
        <v>3.421374178622159</v>
      </c>
      <c r="G67" s="89">
        <f t="shared" si="3"/>
        <v>11.705801270142453</v>
      </c>
    </row>
    <row r="68" spans="2:7" x14ac:dyDescent="0.25">
      <c r="B68" s="2">
        <v>190</v>
      </c>
      <c r="C68" s="1">
        <v>75</v>
      </c>
      <c r="D68" s="89">
        <f t="shared" si="2"/>
        <v>5.2470240721604862</v>
      </c>
      <c r="E68" s="89">
        <f t="shared" ref="E68:E99" si="6">$M$5+$M$3*LN(B68)</f>
        <v>82.4937998137558</v>
      </c>
      <c r="F68" s="89">
        <f t="shared" ref="F68:F99" si="7">C68-E68</f>
        <v>-7.4937998137557997</v>
      </c>
      <c r="G68" s="89">
        <f t="shared" si="3"/>
        <v>56.157035648646456</v>
      </c>
    </row>
    <row r="69" spans="2:7" x14ac:dyDescent="0.25">
      <c r="B69" s="2">
        <v>168</v>
      </c>
      <c r="C69" s="1">
        <v>61</v>
      </c>
      <c r="D69" s="89">
        <f t="shared" ref="D69:D132" si="8">LN(B69)</f>
        <v>5.1239639794032588</v>
      </c>
      <c r="E69" s="89">
        <f t="shared" si="6"/>
        <v>61.152094723426671</v>
      </c>
      <c r="F69" s="89">
        <f t="shared" si="7"/>
        <v>-0.15209472342667141</v>
      </c>
      <c r="G69" s="89">
        <f t="shared" ref="G69:G132" si="9">F69^2</f>
        <v>2.3132804894235668E-2</v>
      </c>
    </row>
    <row r="70" spans="2:7" x14ac:dyDescent="0.25">
      <c r="B70" s="2">
        <v>180</v>
      </c>
      <c r="C70" s="1">
        <v>85</v>
      </c>
      <c r="D70" s="89">
        <f t="shared" si="8"/>
        <v>5.1929568508902104</v>
      </c>
      <c r="E70" s="89">
        <f t="shared" si="6"/>
        <v>73.11718822871353</v>
      </c>
      <c r="F70" s="89">
        <f t="shared" si="7"/>
        <v>11.88281177128647</v>
      </c>
      <c r="G70" s="89">
        <f t="shared" si="9"/>
        <v>141.20121559182428</v>
      </c>
    </row>
    <row r="71" spans="2:7" x14ac:dyDescent="0.25">
      <c r="B71" s="2">
        <v>182</v>
      </c>
      <c r="C71" s="1">
        <v>80</v>
      </c>
      <c r="D71" s="89">
        <f t="shared" si="8"/>
        <v>5.2040066870767951</v>
      </c>
      <c r="E71" s="89">
        <f t="shared" si="6"/>
        <v>75.033506832956505</v>
      </c>
      <c r="F71" s="89">
        <f t="shared" si="7"/>
        <v>4.9664931670434953</v>
      </c>
      <c r="G71" s="89">
        <f t="shared" si="9"/>
        <v>24.666054378289729</v>
      </c>
    </row>
    <row r="72" spans="2:7" x14ac:dyDescent="0.25">
      <c r="B72" s="2">
        <v>180</v>
      </c>
      <c r="C72" s="1">
        <v>85</v>
      </c>
      <c r="D72" s="89">
        <f t="shared" si="8"/>
        <v>5.1929568508902104</v>
      </c>
      <c r="E72" s="89">
        <f t="shared" si="6"/>
        <v>73.11718822871353</v>
      </c>
      <c r="F72" s="89">
        <f t="shared" si="7"/>
        <v>11.88281177128647</v>
      </c>
      <c r="G72" s="89">
        <f t="shared" si="9"/>
        <v>141.20121559182428</v>
      </c>
    </row>
    <row r="73" spans="2:7" x14ac:dyDescent="0.25">
      <c r="B73" s="2">
        <v>175</v>
      </c>
      <c r="C73" s="1">
        <v>62</v>
      </c>
      <c r="D73" s="89">
        <f t="shared" si="8"/>
        <v>5.1647859739235145</v>
      </c>
      <c r="E73" s="89">
        <f t="shared" si="6"/>
        <v>68.231651944052601</v>
      </c>
      <c r="F73" s="89">
        <f t="shared" si="7"/>
        <v>-6.2316519440526008</v>
      </c>
      <c r="G73" s="89">
        <f t="shared" si="9"/>
        <v>38.833485951814559</v>
      </c>
    </row>
    <row r="74" spans="2:7" x14ac:dyDescent="0.25">
      <c r="B74" s="2">
        <v>183</v>
      </c>
      <c r="C74" s="1">
        <v>80</v>
      </c>
      <c r="D74" s="89">
        <f t="shared" si="8"/>
        <v>5.2094861528414214</v>
      </c>
      <c r="E74" s="89">
        <f t="shared" si="6"/>
        <v>75.983783561838095</v>
      </c>
      <c r="F74" s="89">
        <f t="shared" si="7"/>
        <v>4.016216438161905</v>
      </c>
      <c r="G74" s="89">
        <f t="shared" si="9"/>
        <v>16.129994478161898</v>
      </c>
    </row>
    <row r="75" spans="2:7" x14ac:dyDescent="0.25">
      <c r="B75" s="2">
        <v>180</v>
      </c>
      <c r="C75" s="1">
        <v>85</v>
      </c>
      <c r="D75" s="89">
        <f t="shared" si="8"/>
        <v>5.1929568508902104</v>
      </c>
      <c r="E75" s="89">
        <f t="shared" si="6"/>
        <v>73.11718822871353</v>
      </c>
      <c r="F75" s="89">
        <f t="shared" si="7"/>
        <v>11.88281177128647</v>
      </c>
      <c r="G75" s="89">
        <f t="shared" si="9"/>
        <v>141.20121559182428</v>
      </c>
    </row>
    <row r="76" spans="2:7" x14ac:dyDescent="0.25">
      <c r="B76" s="1">
        <v>175</v>
      </c>
      <c r="C76" s="1">
        <v>75</v>
      </c>
      <c r="D76" s="89">
        <f t="shared" si="8"/>
        <v>5.1647859739235145</v>
      </c>
      <c r="E76" s="89">
        <f t="shared" si="6"/>
        <v>68.231651944052601</v>
      </c>
      <c r="F76" s="89">
        <f t="shared" si="7"/>
        <v>6.7683480559473992</v>
      </c>
      <c r="G76" s="89">
        <f t="shared" si="9"/>
        <v>45.810535406446938</v>
      </c>
    </row>
    <row r="77" spans="2:7" x14ac:dyDescent="0.25">
      <c r="B77" s="1">
        <v>180</v>
      </c>
      <c r="C77" s="1">
        <v>72</v>
      </c>
      <c r="D77" s="89">
        <f t="shared" si="8"/>
        <v>5.1929568508902104</v>
      </c>
      <c r="E77" s="89">
        <f t="shared" si="6"/>
        <v>73.11718822871353</v>
      </c>
      <c r="F77" s="89">
        <f t="shared" si="7"/>
        <v>-1.1171882287135304</v>
      </c>
      <c r="G77" s="89">
        <f t="shared" si="9"/>
        <v>1.2481095383760756</v>
      </c>
    </row>
    <row r="78" spans="2:7" x14ac:dyDescent="0.25">
      <c r="B78" s="1">
        <v>175</v>
      </c>
      <c r="C78" s="1">
        <v>68</v>
      </c>
      <c r="D78" s="89">
        <f t="shared" si="8"/>
        <v>5.1647859739235145</v>
      </c>
      <c r="E78" s="89">
        <f t="shared" si="6"/>
        <v>68.231651944052601</v>
      </c>
      <c r="F78" s="89">
        <f t="shared" si="7"/>
        <v>-0.23165194405260081</v>
      </c>
      <c r="G78" s="89">
        <f t="shared" si="9"/>
        <v>5.3662623183349294E-2</v>
      </c>
    </row>
    <row r="79" spans="2:7" x14ac:dyDescent="0.25">
      <c r="B79" s="2">
        <v>180</v>
      </c>
      <c r="C79" s="1">
        <v>72</v>
      </c>
      <c r="D79" s="89">
        <f t="shared" si="8"/>
        <v>5.1929568508902104</v>
      </c>
      <c r="E79" s="89">
        <f t="shared" si="6"/>
        <v>73.11718822871353</v>
      </c>
      <c r="F79" s="89">
        <f t="shared" si="7"/>
        <v>-1.1171882287135304</v>
      </c>
      <c r="G79" s="89">
        <f t="shared" si="9"/>
        <v>1.2481095383760756</v>
      </c>
    </row>
    <row r="80" spans="2:7" x14ac:dyDescent="0.25">
      <c r="B80" s="2">
        <v>180</v>
      </c>
      <c r="C80" s="1">
        <v>70</v>
      </c>
      <c r="D80" s="89">
        <f t="shared" si="8"/>
        <v>5.1929568508902104</v>
      </c>
      <c r="E80" s="89">
        <f t="shared" si="6"/>
        <v>73.11718822871353</v>
      </c>
      <c r="F80" s="89">
        <f t="shared" si="7"/>
        <v>-3.1171882287135304</v>
      </c>
      <c r="G80" s="89">
        <f t="shared" si="9"/>
        <v>9.7168624532301973</v>
      </c>
    </row>
    <row r="81" spans="2:7" x14ac:dyDescent="0.25">
      <c r="B81" s="2">
        <v>162</v>
      </c>
      <c r="C81" s="1">
        <v>56</v>
      </c>
      <c r="D81" s="89">
        <f t="shared" si="8"/>
        <v>5.0875963352323836</v>
      </c>
      <c r="E81" s="89">
        <f t="shared" si="6"/>
        <v>54.845033519954086</v>
      </c>
      <c r="F81" s="89">
        <f t="shared" si="7"/>
        <v>1.1549664800459141</v>
      </c>
      <c r="G81" s="89">
        <f t="shared" si="9"/>
        <v>1.3339475700296488</v>
      </c>
    </row>
    <row r="82" spans="2:7" x14ac:dyDescent="0.25">
      <c r="B82" s="2">
        <v>186</v>
      </c>
      <c r="C82" s="1">
        <v>90</v>
      </c>
      <c r="D82" s="89">
        <f t="shared" si="8"/>
        <v>5.2257466737132017</v>
      </c>
      <c r="E82" s="89">
        <f t="shared" si="6"/>
        <v>78.803765517688703</v>
      </c>
      <c r="F82" s="89">
        <f t="shared" si="7"/>
        <v>11.196234482311297</v>
      </c>
      <c r="G82" s="89">
        <f t="shared" si="9"/>
        <v>125.35566658289652</v>
      </c>
    </row>
    <row r="83" spans="2:7" x14ac:dyDescent="0.25">
      <c r="B83" s="2">
        <v>168</v>
      </c>
      <c r="C83" s="1">
        <v>55</v>
      </c>
      <c r="D83" s="89">
        <f t="shared" si="8"/>
        <v>5.1239639794032588</v>
      </c>
      <c r="E83" s="89">
        <f t="shared" si="6"/>
        <v>61.152094723426671</v>
      </c>
      <c r="F83" s="89">
        <f t="shared" si="7"/>
        <v>-6.1520947234266714</v>
      </c>
      <c r="G83" s="89">
        <f t="shared" si="9"/>
        <v>37.848269486014296</v>
      </c>
    </row>
    <row r="84" spans="2:7" x14ac:dyDescent="0.25">
      <c r="B84" s="2">
        <v>181</v>
      </c>
      <c r="C84" s="1">
        <v>75</v>
      </c>
      <c r="D84" s="89">
        <f t="shared" si="8"/>
        <v>5.1984970312658261</v>
      </c>
      <c r="E84" s="89">
        <f t="shared" si="6"/>
        <v>74.077994393201607</v>
      </c>
      <c r="F84" s="89">
        <f t="shared" si="7"/>
        <v>0.92200560679839327</v>
      </c>
      <c r="G84" s="89">
        <f t="shared" si="9"/>
        <v>0.85009433896767339</v>
      </c>
    </row>
    <row r="85" spans="2:7" x14ac:dyDescent="0.25">
      <c r="B85" s="2">
        <v>158</v>
      </c>
      <c r="C85" s="1">
        <v>60</v>
      </c>
      <c r="D85" s="89">
        <f t="shared" si="8"/>
        <v>5.0625950330269669</v>
      </c>
      <c r="E85" s="89">
        <f t="shared" si="6"/>
        <v>50.509180957297303</v>
      </c>
      <c r="F85" s="89">
        <f t="shared" si="7"/>
        <v>9.4908190427026966</v>
      </c>
      <c r="G85" s="89">
        <f t="shared" si="9"/>
        <v>90.075646101328132</v>
      </c>
    </row>
    <row r="86" spans="2:7" x14ac:dyDescent="0.25">
      <c r="B86" s="2">
        <v>178</v>
      </c>
      <c r="C86" s="1">
        <v>70</v>
      </c>
      <c r="D86" s="89">
        <f t="shared" si="8"/>
        <v>5.181783550292085</v>
      </c>
      <c r="E86" s="89">
        <f t="shared" si="6"/>
        <v>71.179457800367231</v>
      </c>
      <c r="F86" s="89">
        <f t="shared" si="7"/>
        <v>-1.1794578003672314</v>
      </c>
      <c r="G86" s="89">
        <f t="shared" si="9"/>
        <v>1.3911207028471078</v>
      </c>
    </row>
    <row r="87" spans="2:7" x14ac:dyDescent="0.25">
      <c r="B87" s="2">
        <v>175</v>
      </c>
      <c r="C87" s="1">
        <v>72</v>
      </c>
      <c r="D87" s="89">
        <f t="shared" si="8"/>
        <v>5.1647859739235145</v>
      </c>
      <c r="E87" s="89">
        <f t="shared" si="6"/>
        <v>68.231651944052601</v>
      </c>
      <c r="F87" s="89">
        <f t="shared" si="7"/>
        <v>3.7683480559473992</v>
      </c>
      <c r="G87" s="89">
        <f t="shared" si="9"/>
        <v>14.200447070762543</v>
      </c>
    </row>
    <row r="88" spans="2:7" x14ac:dyDescent="0.25">
      <c r="B88" s="2">
        <v>162</v>
      </c>
      <c r="C88" s="1">
        <v>44</v>
      </c>
      <c r="D88" s="89">
        <f t="shared" si="8"/>
        <v>5.0875963352323836</v>
      </c>
      <c r="E88" s="89">
        <f t="shared" si="6"/>
        <v>54.845033519954086</v>
      </c>
      <c r="F88" s="89">
        <f t="shared" si="7"/>
        <v>-10.845033519954086</v>
      </c>
      <c r="G88" s="89">
        <f t="shared" si="9"/>
        <v>117.61475204892771</v>
      </c>
    </row>
    <row r="89" spans="2:7" x14ac:dyDescent="0.25">
      <c r="B89" s="2">
        <v>158</v>
      </c>
      <c r="C89" s="1">
        <v>51</v>
      </c>
      <c r="D89" s="89">
        <f t="shared" si="8"/>
        <v>5.0625950330269669</v>
      </c>
      <c r="E89" s="89">
        <f t="shared" si="6"/>
        <v>50.509180957297303</v>
      </c>
      <c r="F89" s="89">
        <f t="shared" si="7"/>
        <v>0.49081904270269661</v>
      </c>
      <c r="G89" s="89">
        <f t="shared" si="9"/>
        <v>0.24090333267959152</v>
      </c>
    </row>
    <row r="90" spans="2:7" x14ac:dyDescent="0.25">
      <c r="B90" s="2">
        <v>176</v>
      </c>
      <c r="C90" s="1">
        <v>60</v>
      </c>
      <c r="D90" s="89">
        <f t="shared" si="8"/>
        <v>5.1704839950381514</v>
      </c>
      <c r="E90" s="89">
        <f t="shared" si="6"/>
        <v>69.219831649612843</v>
      </c>
      <c r="F90" s="89">
        <f t="shared" si="7"/>
        <v>-9.2198316496128427</v>
      </c>
      <c r="G90" s="89">
        <f t="shared" si="9"/>
        <v>85.005295647202672</v>
      </c>
    </row>
    <row r="91" spans="2:7" x14ac:dyDescent="0.25">
      <c r="B91" s="2">
        <v>172</v>
      </c>
      <c r="C91" s="1">
        <v>63</v>
      </c>
      <c r="D91" s="89">
        <f t="shared" si="8"/>
        <v>5.1474944768134527</v>
      </c>
      <c r="E91" s="89">
        <f t="shared" si="6"/>
        <v>65.232872862833801</v>
      </c>
      <c r="F91" s="89">
        <f t="shared" si="7"/>
        <v>-2.2328728628338013</v>
      </c>
      <c r="G91" s="89">
        <f t="shared" si="9"/>
        <v>4.9857212215796158</v>
      </c>
    </row>
    <row r="92" spans="2:7" x14ac:dyDescent="0.25">
      <c r="B92" s="2">
        <v>180</v>
      </c>
      <c r="C92" s="1">
        <v>63</v>
      </c>
      <c r="D92" s="89">
        <f t="shared" si="8"/>
        <v>5.1929568508902104</v>
      </c>
      <c r="E92" s="89">
        <f t="shared" si="6"/>
        <v>73.11718822871353</v>
      </c>
      <c r="F92" s="89">
        <f t="shared" si="7"/>
        <v>-10.11718822871353</v>
      </c>
      <c r="G92" s="89">
        <f t="shared" si="9"/>
        <v>102.35749765521962</v>
      </c>
    </row>
    <row r="93" spans="2:7" x14ac:dyDescent="0.25">
      <c r="B93" s="2">
        <v>171</v>
      </c>
      <c r="C93" s="1">
        <v>62</v>
      </c>
      <c r="D93" s="89">
        <f t="shared" si="8"/>
        <v>5.1416635565026603</v>
      </c>
      <c r="E93" s="89">
        <f t="shared" si="6"/>
        <v>64.221645104996469</v>
      </c>
      <c r="F93" s="89">
        <f t="shared" si="7"/>
        <v>-2.2216451049964689</v>
      </c>
      <c r="G93" s="89">
        <f t="shared" si="9"/>
        <v>4.9357069725547715</v>
      </c>
    </row>
    <row r="94" spans="2:7" x14ac:dyDescent="0.25">
      <c r="B94" s="2">
        <v>165</v>
      </c>
      <c r="C94" s="1">
        <v>54</v>
      </c>
      <c r="D94" s="89">
        <f t="shared" si="8"/>
        <v>5.1059454739005803</v>
      </c>
      <c r="E94" s="89">
        <f t="shared" si="6"/>
        <v>58.027234161479328</v>
      </c>
      <c r="F94" s="89">
        <f t="shared" si="7"/>
        <v>-4.0272341614793277</v>
      </c>
      <c r="G94" s="89">
        <f t="shared" si="9"/>
        <v>16.218614991386104</v>
      </c>
    </row>
    <row r="95" spans="2:7" x14ac:dyDescent="0.25">
      <c r="B95" s="2">
        <v>182</v>
      </c>
      <c r="C95" s="1">
        <v>65</v>
      </c>
      <c r="D95" s="89">
        <f t="shared" si="8"/>
        <v>5.2040066870767951</v>
      </c>
      <c r="E95" s="89">
        <f t="shared" si="6"/>
        <v>75.033506832956505</v>
      </c>
      <c r="F95" s="89">
        <f t="shared" si="7"/>
        <v>-10.033506832956505</v>
      </c>
      <c r="G95" s="89">
        <f t="shared" si="9"/>
        <v>100.67125936698487</v>
      </c>
    </row>
    <row r="96" spans="2:7" x14ac:dyDescent="0.25">
      <c r="B96" s="2">
        <v>165</v>
      </c>
      <c r="C96" s="1">
        <v>65</v>
      </c>
      <c r="D96" s="89">
        <f t="shared" si="8"/>
        <v>5.1059454739005803</v>
      </c>
      <c r="E96" s="89">
        <f t="shared" si="6"/>
        <v>58.027234161479328</v>
      </c>
      <c r="F96" s="89">
        <f t="shared" si="7"/>
        <v>6.9727658385206723</v>
      </c>
      <c r="G96" s="89">
        <f t="shared" si="9"/>
        <v>48.619463438840896</v>
      </c>
    </row>
    <row r="97" spans="2:7" x14ac:dyDescent="0.25">
      <c r="B97" s="2">
        <v>165</v>
      </c>
      <c r="C97" s="1">
        <v>57</v>
      </c>
      <c r="D97" s="89">
        <f t="shared" si="8"/>
        <v>5.1059454739005803</v>
      </c>
      <c r="E97" s="89">
        <f t="shared" si="6"/>
        <v>58.027234161479328</v>
      </c>
      <c r="F97" s="89">
        <f t="shared" si="7"/>
        <v>-1.0272341614793277</v>
      </c>
      <c r="G97" s="89">
        <f t="shared" si="9"/>
        <v>1.0552100225101375</v>
      </c>
    </row>
    <row r="98" spans="2:7" x14ac:dyDescent="0.25">
      <c r="B98" s="1">
        <v>185</v>
      </c>
      <c r="C98" s="1">
        <v>57</v>
      </c>
      <c r="D98" s="89">
        <f t="shared" si="8"/>
        <v>5.2203558250783244</v>
      </c>
      <c r="E98" s="89">
        <f t="shared" si="6"/>
        <v>77.86885722065756</v>
      </c>
      <c r="F98" s="89">
        <f t="shared" si="7"/>
        <v>-20.86885722065756</v>
      </c>
      <c r="G98" s="89">
        <f t="shared" si="9"/>
        <v>435.50920169619116</v>
      </c>
    </row>
    <row r="99" spans="2:7" x14ac:dyDescent="0.25">
      <c r="B99" s="1">
        <v>165</v>
      </c>
      <c r="C99" s="1">
        <v>50</v>
      </c>
      <c r="D99" s="89">
        <f t="shared" si="8"/>
        <v>5.1059454739005803</v>
      </c>
      <c r="E99" s="89">
        <f t="shared" si="6"/>
        <v>58.027234161479328</v>
      </c>
      <c r="F99" s="89">
        <f t="shared" si="7"/>
        <v>-8.0272341614793277</v>
      </c>
      <c r="G99" s="89">
        <f t="shared" si="9"/>
        <v>64.436488283220726</v>
      </c>
    </row>
    <row r="100" spans="2:7" x14ac:dyDescent="0.25">
      <c r="B100" s="1">
        <v>173</v>
      </c>
      <c r="C100" s="1">
        <v>67</v>
      </c>
      <c r="D100" s="89">
        <f t="shared" si="8"/>
        <v>5.1532915944977793</v>
      </c>
      <c r="E100" s="89">
        <f t="shared" ref="E100:E131" si="10">$M$5+$M$3*LN(B100)</f>
        <v>66.238238397840405</v>
      </c>
      <c r="F100" s="89">
        <f t="shared" ref="F100:F131" si="11">C100-E100</f>
        <v>0.76176160215959499</v>
      </c>
      <c r="G100" s="89">
        <f t="shared" si="9"/>
        <v>0.58028073852475304</v>
      </c>
    </row>
    <row r="101" spans="2:7" x14ac:dyDescent="0.25">
      <c r="B101" s="1">
        <v>170</v>
      </c>
      <c r="C101" s="1">
        <v>72</v>
      </c>
      <c r="D101" s="89">
        <f t="shared" si="8"/>
        <v>5.1357984370502621</v>
      </c>
      <c r="E101" s="89">
        <f t="shared" si="10"/>
        <v>63.204486358662962</v>
      </c>
      <c r="F101" s="89">
        <f t="shared" si="11"/>
        <v>8.7955136413370383</v>
      </c>
      <c r="G101" s="89">
        <f t="shared" si="9"/>
        <v>77.361060214945923</v>
      </c>
    </row>
    <row r="102" spans="2:7" x14ac:dyDescent="0.25">
      <c r="B102" s="1">
        <v>189</v>
      </c>
      <c r="C102" s="1">
        <v>79</v>
      </c>
      <c r="D102" s="89">
        <f t="shared" si="8"/>
        <v>5.2417470150596426</v>
      </c>
      <c r="E102" s="89">
        <f t="shared" si="10"/>
        <v>81.578625821377841</v>
      </c>
      <c r="F102" s="89">
        <f t="shared" si="11"/>
        <v>-2.578625821377841</v>
      </c>
      <c r="G102" s="89">
        <f t="shared" si="9"/>
        <v>6.6493111266765457</v>
      </c>
    </row>
    <row r="103" spans="2:7" x14ac:dyDescent="0.25">
      <c r="B103" s="1">
        <v>170</v>
      </c>
      <c r="C103" s="1">
        <v>64</v>
      </c>
      <c r="D103" s="89">
        <f t="shared" si="8"/>
        <v>5.1357984370502621</v>
      </c>
      <c r="E103" s="89">
        <f t="shared" si="10"/>
        <v>63.204486358662962</v>
      </c>
      <c r="F103" s="89">
        <f t="shared" si="11"/>
        <v>0.79551364133703828</v>
      </c>
      <c r="G103" s="89">
        <f t="shared" si="9"/>
        <v>0.63284195355331396</v>
      </c>
    </row>
    <row r="104" spans="2:7" x14ac:dyDescent="0.25">
      <c r="B104" s="1">
        <v>185</v>
      </c>
      <c r="C104" s="1">
        <v>95</v>
      </c>
      <c r="D104" s="89">
        <f t="shared" si="8"/>
        <v>5.2203558250783244</v>
      </c>
      <c r="E104" s="89">
        <f t="shared" si="10"/>
        <v>77.86885722065756</v>
      </c>
      <c r="F104" s="89">
        <f t="shared" si="11"/>
        <v>17.13114277934244</v>
      </c>
      <c r="G104" s="89">
        <f t="shared" si="9"/>
        <v>293.4760529262166</v>
      </c>
    </row>
    <row r="105" spans="2:7" x14ac:dyDescent="0.25">
      <c r="B105" s="1">
        <v>165</v>
      </c>
      <c r="C105" s="1">
        <v>58</v>
      </c>
      <c r="D105" s="89">
        <f t="shared" si="8"/>
        <v>5.1059454739005803</v>
      </c>
      <c r="E105" s="89">
        <f t="shared" si="10"/>
        <v>58.027234161479328</v>
      </c>
      <c r="F105" s="89">
        <f t="shared" si="11"/>
        <v>-2.7234161479327668E-2</v>
      </c>
      <c r="G105" s="89">
        <f t="shared" si="9"/>
        <v>7.4169955148209498E-4</v>
      </c>
    </row>
    <row r="106" spans="2:7" x14ac:dyDescent="0.25">
      <c r="B106" s="1">
        <v>189</v>
      </c>
      <c r="C106" s="1">
        <v>83</v>
      </c>
      <c r="D106" s="89">
        <f t="shared" si="8"/>
        <v>5.2417470150596426</v>
      </c>
      <c r="E106" s="89">
        <f t="shared" si="10"/>
        <v>81.578625821377841</v>
      </c>
      <c r="F106" s="89">
        <f t="shared" si="11"/>
        <v>1.421374178622159</v>
      </c>
      <c r="G106" s="89">
        <f t="shared" si="9"/>
        <v>2.0203045556538171</v>
      </c>
    </row>
    <row r="107" spans="2:7" x14ac:dyDescent="0.25">
      <c r="B107" s="1">
        <v>180</v>
      </c>
      <c r="C107" s="1">
        <v>75</v>
      </c>
      <c r="D107" s="89">
        <f t="shared" si="8"/>
        <v>5.1929568508902104</v>
      </c>
      <c r="E107" s="89">
        <f t="shared" si="10"/>
        <v>73.11718822871353</v>
      </c>
      <c r="F107" s="89">
        <f t="shared" si="11"/>
        <v>1.8828117712864696</v>
      </c>
      <c r="G107" s="89">
        <f t="shared" si="9"/>
        <v>3.5449801660948932</v>
      </c>
    </row>
    <row r="108" spans="2:7" x14ac:dyDescent="0.25">
      <c r="B108" s="1">
        <v>192</v>
      </c>
      <c r="C108" s="1">
        <v>83</v>
      </c>
      <c r="D108" s="89">
        <f t="shared" si="8"/>
        <v>5.2574953720277815</v>
      </c>
      <c r="E108" s="89">
        <f t="shared" si="10"/>
        <v>84.309785716847045</v>
      </c>
      <c r="F108" s="89">
        <f t="shared" si="11"/>
        <v>-1.3097857168470455</v>
      </c>
      <c r="G108" s="89">
        <f t="shared" si="9"/>
        <v>1.7155386240565287</v>
      </c>
    </row>
    <row r="109" spans="2:7" x14ac:dyDescent="0.25">
      <c r="B109" s="1">
        <v>193</v>
      </c>
      <c r="C109" s="1">
        <v>85</v>
      </c>
      <c r="D109" s="89">
        <f t="shared" si="8"/>
        <v>5.2626901889048856</v>
      </c>
      <c r="E109" s="89">
        <f t="shared" si="10"/>
        <v>85.210697192739872</v>
      </c>
      <c r="F109" s="89">
        <f t="shared" si="11"/>
        <v>-0.21069719273987175</v>
      </c>
      <c r="G109" s="89">
        <f t="shared" si="9"/>
        <v>4.4393307028462663E-2</v>
      </c>
    </row>
    <row r="110" spans="2:7" x14ac:dyDescent="0.25">
      <c r="B110" s="1">
        <v>165</v>
      </c>
      <c r="C110" s="1">
        <v>56</v>
      </c>
      <c r="D110" s="89">
        <f t="shared" si="8"/>
        <v>5.1059454739005803</v>
      </c>
      <c r="E110" s="89">
        <f t="shared" si="10"/>
        <v>58.027234161479328</v>
      </c>
      <c r="F110" s="89">
        <f t="shared" si="11"/>
        <v>-2.0272341614793277</v>
      </c>
      <c r="G110" s="89">
        <f t="shared" si="9"/>
        <v>4.1096783454687928</v>
      </c>
    </row>
    <row r="111" spans="2:7" x14ac:dyDescent="0.25">
      <c r="B111" s="1">
        <v>170</v>
      </c>
      <c r="C111" s="1">
        <v>60</v>
      </c>
      <c r="D111" s="89">
        <f t="shared" si="8"/>
        <v>5.1357984370502621</v>
      </c>
      <c r="E111" s="89">
        <f t="shared" si="10"/>
        <v>63.204486358662962</v>
      </c>
      <c r="F111" s="89">
        <f t="shared" si="11"/>
        <v>-3.2044863586629617</v>
      </c>
      <c r="G111" s="89">
        <f t="shared" si="9"/>
        <v>10.268732822857007</v>
      </c>
    </row>
    <row r="112" spans="2:7" x14ac:dyDescent="0.25">
      <c r="B112" s="1">
        <v>167</v>
      </c>
      <c r="C112" s="1">
        <v>59</v>
      </c>
      <c r="D112" s="89">
        <f t="shared" si="8"/>
        <v>5.1179938124167554</v>
      </c>
      <c r="E112" s="89">
        <f t="shared" si="10"/>
        <v>60.116718101231754</v>
      </c>
      <c r="F112" s="89">
        <f t="shared" si="11"/>
        <v>-1.1167181012317542</v>
      </c>
      <c r="G112" s="89">
        <f t="shared" si="9"/>
        <v>1.2470593176186544</v>
      </c>
    </row>
    <row r="113" spans="2:7" x14ac:dyDescent="0.25">
      <c r="B113" s="1">
        <v>170</v>
      </c>
      <c r="C113" s="1">
        <v>90</v>
      </c>
      <c r="D113" s="89">
        <f t="shared" si="8"/>
        <v>5.1357984370502621</v>
      </c>
      <c r="E113" s="89">
        <f t="shared" si="10"/>
        <v>63.204486358662962</v>
      </c>
      <c r="F113" s="89">
        <f t="shared" si="11"/>
        <v>26.795513641337038</v>
      </c>
      <c r="G113" s="89">
        <f t="shared" si="9"/>
        <v>717.99955130307933</v>
      </c>
    </row>
    <row r="114" spans="2:7" x14ac:dyDescent="0.25">
      <c r="B114" s="1">
        <v>168</v>
      </c>
      <c r="C114" s="1">
        <v>58</v>
      </c>
      <c r="D114" s="89">
        <f t="shared" si="8"/>
        <v>5.1239639794032588</v>
      </c>
      <c r="E114" s="89">
        <f t="shared" si="10"/>
        <v>61.152094723426671</v>
      </c>
      <c r="F114" s="89">
        <f t="shared" si="11"/>
        <v>-3.1520947234266714</v>
      </c>
      <c r="G114" s="89">
        <f t="shared" si="9"/>
        <v>9.9357011454542636</v>
      </c>
    </row>
    <row r="115" spans="2:7" x14ac:dyDescent="0.25">
      <c r="B115" s="1">
        <v>169</v>
      </c>
      <c r="C115" s="1">
        <v>51</v>
      </c>
      <c r="D115" s="89">
        <f t="shared" si="8"/>
        <v>5.1298987149230735</v>
      </c>
      <c r="E115" s="89">
        <f t="shared" si="10"/>
        <v>62.181326641062697</v>
      </c>
      <c r="F115" s="89">
        <f t="shared" si="11"/>
        <v>-11.181326641062697</v>
      </c>
      <c r="G115" s="89">
        <f t="shared" si="9"/>
        <v>125.0220654541384</v>
      </c>
    </row>
    <row r="116" spans="2:7" x14ac:dyDescent="0.25">
      <c r="B116" s="1">
        <v>170</v>
      </c>
      <c r="C116" s="1">
        <v>70</v>
      </c>
      <c r="D116" s="89">
        <f t="shared" si="8"/>
        <v>5.1357984370502621</v>
      </c>
      <c r="E116" s="89">
        <f t="shared" si="10"/>
        <v>63.204486358662962</v>
      </c>
      <c r="F116" s="89">
        <f t="shared" si="11"/>
        <v>6.7955136413370383</v>
      </c>
      <c r="G116" s="89">
        <f t="shared" si="9"/>
        <v>46.179005649597777</v>
      </c>
    </row>
    <row r="117" spans="2:7" x14ac:dyDescent="0.25">
      <c r="B117" s="1">
        <v>176</v>
      </c>
      <c r="C117" s="1">
        <v>75</v>
      </c>
      <c r="D117" s="89">
        <f t="shared" si="8"/>
        <v>5.1704839950381514</v>
      </c>
      <c r="E117" s="89">
        <f t="shared" si="10"/>
        <v>69.219831649612843</v>
      </c>
      <c r="F117" s="89">
        <f t="shared" si="11"/>
        <v>5.7801683503871573</v>
      </c>
      <c r="G117" s="89">
        <f t="shared" si="9"/>
        <v>33.41034615881739</v>
      </c>
    </row>
    <row r="118" spans="2:7" x14ac:dyDescent="0.25">
      <c r="B118" s="1">
        <v>173</v>
      </c>
      <c r="C118" s="1">
        <v>67</v>
      </c>
      <c r="D118" s="89">
        <f t="shared" si="8"/>
        <v>5.1532915944977793</v>
      </c>
      <c r="E118" s="89">
        <f t="shared" si="10"/>
        <v>66.238238397840405</v>
      </c>
      <c r="F118" s="89">
        <f t="shared" si="11"/>
        <v>0.76176160215959499</v>
      </c>
      <c r="G118" s="89">
        <f t="shared" si="9"/>
        <v>0.58028073852475304</v>
      </c>
    </row>
    <row r="119" spans="2:7" x14ac:dyDescent="0.25">
      <c r="B119" s="1">
        <v>163</v>
      </c>
      <c r="C119" s="1">
        <v>45</v>
      </c>
      <c r="D119" s="89">
        <f t="shared" si="8"/>
        <v>5.0937502008067623</v>
      </c>
      <c r="E119" s="89">
        <f t="shared" si="10"/>
        <v>55.912268082445507</v>
      </c>
      <c r="F119" s="89">
        <f t="shared" si="11"/>
        <v>-10.912268082445507</v>
      </c>
      <c r="G119" s="89">
        <f t="shared" si="9"/>
        <v>119.07759470315895</v>
      </c>
    </row>
    <row r="120" spans="2:7" x14ac:dyDescent="0.25">
      <c r="B120" s="1">
        <v>162</v>
      </c>
      <c r="C120" s="1">
        <v>47</v>
      </c>
      <c r="D120" s="89">
        <f t="shared" si="8"/>
        <v>5.0875963352323836</v>
      </c>
      <c r="E120" s="89">
        <f t="shared" si="10"/>
        <v>54.845033519954086</v>
      </c>
      <c r="F120" s="89">
        <f t="shared" si="11"/>
        <v>-7.8450335199540859</v>
      </c>
      <c r="G120" s="89">
        <f t="shared" si="9"/>
        <v>61.544550929203197</v>
      </c>
    </row>
    <row r="121" spans="2:7" x14ac:dyDescent="0.25">
      <c r="B121" s="1">
        <v>150</v>
      </c>
      <c r="C121" s="1">
        <v>50</v>
      </c>
      <c r="D121" s="89">
        <f t="shared" si="8"/>
        <v>5.0106352940962555</v>
      </c>
      <c r="E121" s="89">
        <f t="shared" si="10"/>
        <v>41.498059642628846</v>
      </c>
      <c r="F121" s="89">
        <f t="shared" si="11"/>
        <v>8.5019403573711543</v>
      </c>
      <c r="G121" s="89">
        <f t="shared" si="9"/>
        <v>72.282989840296352</v>
      </c>
    </row>
    <row r="122" spans="2:7" x14ac:dyDescent="0.25">
      <c r="B122" s="1">
        <v>175</v>
      </c>
      <c r="C122" s="1">
        <v>72</v>
      </c>
      <c r="D122" s="89">
        <f t="shared" si="8"/>
        <v>5.1647859739235145</v>
      </c>
      <c r="E122" s="89">
        <f t="shared" si="10"/>
        <v>68.231651944052601</v>
      </c>
      <c r="F122" s="89">
        <f t="shared" si="11"/>
        <v>3.7683480559473992</v>
      </c>
      <c r="G122" s="89">
        <f t="shared" si="9"/>
        <v>14.200447070762543</v>
      </c>
    </row>
    <row r="123" spans="2:7" x14ac:dyDescent="0.25">
      <c r="B123" s="1">
        <v>183</v>
      </c>
      <c r="C123" s="1">
        <v>65</v>
      </c>
      <c r="D123" s="89">
        <f t="shared" si="8"/>
        <v>5.2094861528414214</v>
      </c>
      <c r="E123" s="89">
        <f t="shared" si="10"/>
        <v>75.983783561838095</v>
      </c>
      <c r="F123" s="89">
        <f t="shared" si="11"/>
        <v>-10.983783561838095</v>
      </c>
      <c r="G123" s="89">
        <f t="shared" si="9"/>
        <v>120.64350133330476</v>
      </c>
    </row>
    <row r="124" spans="2:7" x14ac:dyDescent="0.25">
      <c r="B124" s="1">
        <v>167</v>
      </c>
      <c r="C124" s="1">
        <v>65</v>
      </c>
      <c r="D124" s="89">
        <f t="shared" si="8"/>
        <v>5.1179938124167554</v>
      </c>
      <c r="E124" s="89">
        <f t="shared" si="10"/>
        <v>60.116718101231754</v>
      </c>
      <c r="F124" s="89">
        <f t="shared" si="11"/>
        <v>4.8832818987682458</v>
      </c>
      <c r="G124" s="89">
        <f t="shared" si="9"/>
        <v>23.846442102837603</v>
      </c>
    </row>
    <row r="125" spans="2:7" x14ac:dyDescent="0.25">
      <c r="B125" s="1">
        <v>170</v>
      </c>
      <c r="C125" s="1">
        <v>58</v>
      </c>
      <c r="D125" s="89">
        <f t="shared" si="8"/>
        <v>5.1357984370502621</v>
      </c>
      <c r="E125" s="89">
        <f t="shared" si="10"/>
        <v>63.204486358662962</v>
      </c>
      <c r="F125" s="89">
        <f t="shared" si="11"/>
        <v>-5.2044863586629617</v>
      </c>
      <c r="G125" s="89">
        <f t="shared" si="9"/>
        <v>27.086678257508854</v>
      </c>
    </row>
    <row r="126" spans="2:7" x14ac:dyDescent="0.25">
      <c r="B126" s="1">
        <v>181</v>
      </c>
      <c r="C126" s="1">
        <v>78</v>
      </c>
      <c r="D126" s="89">
        <f t="shared" si="8"/>
        <v>5.1984970312658261</v>
      </c>
      <c r="E126" s="89">
        <f t="shared" si="10"/>
        <v>74.077994393201607</v>
      </c>
      <c r="F126" s="89">
        <f t="shared" si="11"/>
        <v>3.9220056067983933</v>
      </c>
      <c r="G126" s="89">
        <f t="shared" si="9"/>
        <v>15.382127979758033</v>
      </c>
    </row>
    <row r="127" spans="2:7" x14ac:dyDescent="0.25">
      <c r="B127" s="1">
        <v>169</v>
      </c>
      <c r="C127" s="1">
        <v>57</v>
      </c>
      <c r="D127" s="89">
        <f t="shared" si="8"/>
        <v>5.1298987149230735</v>
      </c>
      <c r="E127" s="89">
        <f t="shared" si="10"/>
        <v>62.181326641062697</v>
      </c>
      <c r="F127" s="89">
        <f t="shared" si="11"/>
        <v>-5.1813266410626966</v>
      </c>
      <c r="G127" s="89">
        <f t="shared" si="9"/>
        <v>26.846145761386047</v>
      </c>
    </row>
    <row r="128" spans="2:7" x14ac:dyDescent="0.25">
      <c r="B128" s="1">
        <v>172</v>
      </c>
      <c r="C128" s="1">
        <v>52</v>
      </c>
      <c r="D128" s="89">
        <f t="shared" si="8"/>
        <v>5.1474944768134527</v>
      </c>
      <c r="E128" s="89">
        <f t="shared" si="10"/>
        <v>65.232872862833801</v>
      </c>
      <c r="F128" s="89">
        <f t="shared" si="11"/>
        <v>-13.232872862833801</v>
      </c>
      <c r="G128" s="89">
        <f t="shared" si="9"/>
        <v>175.10892420392324</v>
      </c>
    </row>
    <row r="129" spans="2:7" x14ac:dyDescent="0.25">
      <c r="B129" s="1">
        <v>160</v>
      </c>
      <c r="C129" s="1">
        <v>48</v>
      </c>
      <c r="D129" s="89">
        <f t="shared" si="8"/>
        <v>5.0751738152338266</v>
      </c>
      <c r="E129" s="89">
        <f t="shared" si="10"/>
        <v>52.690657130762247</v>
      </c>
      <c r="F129" s="89">
        <f t="shared" si="11"/>
        <v>-4.6906571307622471</v>
      </c>
      <c r="G129" s="89">
        <f t="shared" si="9"/>
        <v>22.002264318370717</v>
      </c>
    </row>
    <row r="130" spans="2:7" x14ac:dyDescent="0.25">
      <c r="B130" s="1">
        <v>173</v>
      </c>
      <c r="C130" s="1">
        <v>62</v>
      </c>
      <c r="D130" s="89">
        <f t="shared" si="8"/>
        <v>5.1532915944977793</v>
      </c>
      <c r="E130" s="89">
        <f t="shared" si="10"/>
        <v>66.238238397840405</v>
      </c>
      <c r="F130" s="89">
        <f t="shared" si="11"/>
        <v>-4.238238397840405</v>
      </c>
      <c r="G130" s="89">
        <f t="shared" si="9"/>
        <v>17.962664716928803</v>
      </c>
    </row>
    <row r="131" spans="2:7" x14ac:dyDescent="0.25">
      <c r="B131" s="1">
        <v>182</v>
      </c>
      <c r="C131" s="1">
        <v>64</v>
      </c>
      <c r="D131" s="89">
        <f t="shared" si="8"/>
        <v>5.2040066870767951</v>
      </c>
      <c r="E131" s="89">
        <f t="shared" si="10"/>
        <v>75.033506832956505</v>
      </c>
      <c r="F131" s="89">
        <f t="shared" si="11"/>
        <v>-11.033506832956505</v>
      </c>
      <c r="G131" s="89">
        <f t="shared" si="9"/>
        <v>121.73827303289788</v>
      </c>
    </row>
    <row r="132" spans="2:7" x14ac:dyDescent="0.25">
      <c r="B132" s="1">
        <v>168</v>
      </c>
      <c r="C132" s="1">
        <v>58</v>
      </c>
      <c r="D132" s="89">
        <f t="shared" si="8"/>
        <v>5.1239639794032588</v>
      </c>
      <c r="E132" s="89">
        <f t="shared" ref="E132:E140" si="12">$M$5+$M$3*LN(B132)</f>
        <v>61.152094723426671</v>
      </c>
      <c r="F132" s="89">
        <f t="shared" ref="F132:F140" si="13">C132-E132</f>
        <v>-3.1520947234266714</v>
      </c>
      <c r="G132" s="89">
        <f t="shared" si="9"/>
        <v>9.9357011454542636</v>
      </c>
    </row>
    <row r="133" spans="2:7" x14ac:dyDescent="0.25">
      <c r="B133" s="1">
        <v>163</v>
      </c>
      <c r="C133" s="1">
        <v>62</v>
      </c>
      <c r="D133" s="89">
        <f t="shared" ref="D133:D140" si="14">LN(B133)</f>
        <v>5.0937502008067623</v>
      </c>
      <c r="E133" s="89">
        <f t="shared" si="12"/>
        <v>55.912268082445507</v>
      </c>
      <c r="F133" s="89">
        <f t="shared" si="13"/>
        <v>6.0877319175544926</v>
      </c>
      <c r="G133" s="89">
        <f t="shared" ref="G133:G140" si="15">F133^2</f>
        <v>37.0604799000117</v>
      </c>
    </row>
    <row r="134" spans="2:7" x14ac:dyDescent="0.25">
      <c r="B134" s="2">
        <v>160</v>
      </c>
      <c r="C134" s="1">
        <v>53</v>
      </c>
      <c r="D134" s="89">
        <f t="shared" si="14"/>
        <v>5.0751738152338266</v>
      </c>
      <c r="E134" s="89">
        <f t="shared" si="12"/>
        <v>52.690657130762247</v>
      </c>
      <c r="F134" s="89">
        <f t="shared" si="13"/>
        <v>0.30934286923775289</v>
      </c>
      <c r="G134" s="89">
        <f t="shared" si="15"/>
        <v>9.5693010748245488E-2</v>
      </c>
    </row>
    <row r="135" spans="2:7" x14ac:dyDescent="0.25">
      <c r="B135" s="1">
        <v>180</v>
      </c>
      <c r="C135" s="1">
        <v>75</v>
      </c>
      <c r="D135" s="89">
        <f t="shared" si="14"/>
        <v>5.1929568508902104</v>
      </c>
      <c r="E135" s="89">
        <f t="shared" si="12"/>
        <v>73.11718822871353</v>
      </c>
      <c r="F135" s="89">
        <f t="shared" si="13"/>
        <v>1.8828117712864696</v>
      </c>
      <c r="G135" s="89">
        <f t="shared" si="15"/>
        <v>3.5449801660948932</v>
      </c>
    </row>
    <row r="136" spans="2:7" x14ac:dyDescent="0.25">
      <c r="B136" s="1">
        <v>177</v>
      </c>
      <c r="C136" s="1">
        <v>80</v>
      </c>
      <c r="D136" s="89">
        <f t="shared" si="14"/>
        <v>5.1761497325738288</v>
      </c>
      <c r="E136" s="89">
        <f t="shared" si="12"/>
        <v>70.202412573261086</v>
      </c>
      <c r="F136" s="89">
        <f t="shared" si="13"/>
        <v>9.7975874267389145</v>
      </c>
      <c r="G136" s="89">
        <f t="shared" si="15"/>
        <v>95.992719384592462</v>
      </c>
    </row>
    <row r="137" spans="2:7" x14ac:dyDescent="0.25">
      <c r="B137" s="1">
        <v>174</v>
      </c>
      <c r="C137" s="1">
        <v>80</v>
      </c>
      <c r="D137" s="89">
        <f t="shared" si="14"/>
        <v>5.1590552992145291</v>
      </c>
      <c r="E137" s="89">
        <f t="shared" si="12"/>
        <v>67.237809286636093</v>
      </c>
      <c r="F137" s="89">
        <f t="shared" si="13"/>
        <v>12.762190713363907</v>
      </c>
      <c r="G137" s="89">
        <f t="shared" si="15"/>
        <v>162.87351180427194</v>
      </c>
    </row>
    <row r="138" spans="2:7" x14ac:dyDescent="0.25">
      <c r="B138" s="1">
        <v>160</v>
      </c>
      <c r="C138" s="1">
        <v>50</v>
      </c>
      <c r="D138" s="89">
        <f t="shared" si="14"/>
        <v>5.0751738152338266</v>
      </c>
      <c r="E138" s="89">
        <f t="shared" si="12"/>
        <v>52.690657130762247</v>
      </c>
      <c r="F138" s="89">
        <f t="shared" si="13"/>
        <v>-2.6906571307622471</v>
      </c>
      <c r="G138" s="89">
        <f t="shared" si="15"/>
        <v>7.2396357953217283</v>
      </c>
    </row>
    <row r="139" spans="2:7" x14ac:dyDescent="0.25">
      <c r="B139" s="1">
        <v>160</v>
      </c>
      <c r="C139" s="1">
        <v>52</v>
      </c>
      <c r="D139" s="89">
        <f t="shared" si="14"/>
        <v>5.0751738152338266</v>
      </c>
      <c r="E139" s="89">
        <f t="shared" si="12"/>
        <v>52.690657130762247</v>
      </c>
      <c r="F139" s="89">
        <f t="shared" si="13"/>
        <v>-0.69065713076224711</v>
      </c>
      <c r="G139" s="89">
        <f t="shared" si="15"/>
        <v>0.4770072722727397</v>
      </c>
    </row>
    <row r="140" spans="2:7" x14ac:dyDescent="0.25">
      <c r="B140" s="1">
        <v>190</v>
      </c>
      <c r="C140" s="1">
        <v>85</v>
      </c>
      <c r="D140" s="89">
        <f t="shared" si="14"/>
        <v>5.2470240721604862</v>
      </c>
      <c r="E140" s="89">
        <f t="shared" si="12"/>
        <v>82.4937998137558</v>
      </c>
      <c r="F140" s="89">
        <f t="shared" si="13"/>
        <v>2.5062001862442003</v>
      </c>
      <c r="G140" s="89">
        <f t="shared" si="15"/>
        <v>6.2810393735304642</v>
      </c>
    </row>
    <row r="141" spans="2:7" x14ac:dyDescent="0.25">
      <c r="G141" s="159">
        <f>SUM(G4:G140)</f>
        <v>7089.414629607325</v>
      </c>
    </row>
  </sheetData>
  <mergeCells count="1">
    <mergeCell ref="J4:J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35"/>
  <sheetViews>
    <sheetView workbookViewId="0">
      <selection activeCell="E12" sqref="E12"/>
    </sheetView>
  </sheetViews>
  <sheetFormatPr baseColWidth="10" defaultColWidth="9.140625" defaultRowHeight="15.75" x14ac:dyDescent="0.25"/>
  <cols>
    <col min="1" max="1" width="9.140625" style="14"/>
    <col min="2" max="2" width="13.140625" style="16" bestFit="1" customWidth="1"/>
    <col min="3" max="3" width="19" style="16" customWidth="1"/>
    <col min="4" max="4" width="11.42578125" style="90" customWidth="1"/>
    <col min="5" max="5" width="8.28515625" style="90" customWidth="1"/>
    <col min="6" max="6" width="15.5703125" style="90" customWidth="1"/>
    <col min="7" max="8" width="11.42578125" style="14" customWidth="1"/>
    <col min="9" max="9" width="17.5703125" style="14" bestFit="1" customWidth="1"/>
    <col min="10" max="257" width="11.42578125" style="14" customWidth="1"/>
    <col min="258" max="258" width="12.85546875" style="14" customWidth="1"/>
    <col min="259" max="259" width="30.5703125" style="14" customWidth="1"/>
    <col min="260" max="261" width="11.42578125" style="14" customWidth="1"/>
    <col min="262" max="262" width="23.85546875" style="14" customWidth="1"/>
    <col min="263" max="513" width="11.42578125" style="14" customWidth="1"/>
    <col min="514" max="514" width="12.85546875" style="14" customWidth="1"/>
    <col min="515" max="515" width="30.5703125" style="14" customWidth="1"/>
    <col min="516" max="517" width="11.42578125" style="14" customWidth="1"/>
    <col min="518" max="518" width="23.85546875" style="14" customWidth="1"/>
    <col min="519" max="769" width="11.42578125" style="14" customWidth="1"/>
    <col min="770" max="770" width="12.85546875" style="14" customWidth="1"/>
    <col min="771" max="771" width="30.5703125" style="14" customWidth="1"/>
    <col min="772" max="773" width="11.42578125" style="14" customWidth="1"/>
    <col min="774" max="774" width="23.85546875" style="14" customWidth="1"/>
    <col min="775" max="1025" width="11.42578125" style="14" customWidth="1"/>
    <col min="1026" max="1026" width="12.85546875" style="14" customWidth="1"/>
    <col min="1027" max="1027" width="30.5703125" style="14" customWidth="1"/>
    <col min="1028" max="1029" width="11.42578125" style="14" customWidth="1"/>
    <col min="1030" max="1030" width="23.85546875" style="14" customWidth="1"/>
    <col min="1031" max="1281" width="11.42578125" style="14" customWidth="1"/>
    <col min="1282" max="1282" width="12.85546875" style="14" customWidth="1"/>
    <col min="1283" max="1283" width="30.5703125" style="14" customWidth="1"/>
    <col min="1284" max="1285" width="11.42578125" style="14" customWidth="1"/>
    <col min="1286" max="1286" width="23.85546875" style="14" customWidth="1"/>
    <col min="1287" max="1537" width="11.42578125" style="14" customWidth="1"/>
    <col min="1538" max="1538" width="12.85546875" style="14" customWidth="1"/>
    <col min="1539" max="1539" width="30.5703125" style="14" customWidth="1"/>
    <col min="1540" max="1541" width="11.42578125" style="14" customWidth="1"/>
    <col min="1542" max="1542" width="23.85546875" style="14" customWidth="1"/>
    <col min="1543" max="1793" width="11.42578125" style="14" customWidth="1"/>
    <col min="1794" max="1794" width="12.85546875" style="14" customWidth="1"/>
    <col min="1795" max="1795" width="30.5703125" style="14" customWidth="1"/>
    <col min="1796" max="1797" width="11.42578125" style="14" customWidth="1"/>
    <col min="1798" max="1798" width="23.85546875" style="14" customWidth="1"/>
    <col min="1799" max="2049" width="11.42578125" style="14" customWidth="1"/>
    <col min="2050" max="2050" width="12.85546875" style="14" customWidth="1"/>
    <col min="2051" max="2051" width="30.5703125" style="14" customWidth="1"/>
    <col min="2052" max="2053" width="11.42578125" style="14" customWidth="1"/>
    <col min="2054" max="2054" width="23.85546875" style="14" customWidth="1"/>
    <col min="2055" max="2305" width="11.42578125" style="14" customWidth="1"/>
    <col min="2306" max="2306" width="12.85546875" style="14" customWidth="1"/>
    <col min="2307" max="2307" width="30.5703125" style="14" customWidth="1"/>
    <col min="2308" max="2309" width="11.42578125" style="14" customWidth="1"/>
    <col min="2310" max="2310" width="23.85546875" style="14" customWidth="1"/>
    <col min="2311" max="2561" width="11.42578125" style="14" customWidth="1"/>
    <col min="2562" max="2562" width="12.85546875" style="14" customWidth="1"/>
    <col min="2563" max="2563" width="30.5703125" style="14" customWidth="1"/>
    <col min="2564" max="2565" width="11.42578125" style="14" customWidth="1"/>
    <col min="2566" max="2566" width="23.85546875" style="14" customWidth="1"/>
    <col min="2567" max="2817" width="11.42578125" style="14" customWidth="1"/>
    <col min="2818" max="2818" width="12.85546875" style="14" customWidth="1"/>
    <col min="2819" max="2819" width="30.5703125" style="14" customWidth="1"/>
    <col min="2820" max="2821" width="11.42578125" style="14" customWidth="1"/>
    <col min="2822" max="2822" width="23.85546875" style="14" customWidth="1"/>
    <col min="2823" max="3073" width="11.42578125" style="14" customWidth="1"/>
    <col min="3074" max="3074" width="12.85546875" style="14" customWidth="1"/>
    <col min="3075" max="3075" width="30.5703125" style="14" customWidth="1"/>
    <col min="3076" max="3077" width="11.42578125" style="14" customWidth="1"/>
    <col min="3078" max="3078" width="23.85546875" style="14" customWidth="1"/>
    <col min="3079" max="3329" width="11.42578125" style="14" customWidth="1"/>
    <col min="3330" max="3330" width="12.85546875" style="14" customWidth="1"/>
    <col min="3331" max="3331" width="30.5703125" style="14" customWidth="1"/>
    <col min="3332" max="3333" width="11.42578125" style="14" customWidth="1"/>
    <col min="3334" max="3334" width="23.85546875" style="14" customWidth="1"/>
    <col min="3335" max="3585" width="11.42578125" style="14" customWidth="1"/>
    <col min="3586" max="3586" width="12.85546875" style="14" customWidth="1"/>
    <col min="3587" max="3587" width="30.5703125" style="14" customWidth="1"/>
    <col min="3588" max="3589" width="11.42578125" style="14" customWidth="1"/>
    <col min="3590" max="3590" width="23.85546875" style="14" customWidth="1"/>
    <col min="3591" max="3841" width="11.42578125" style="14" customWidth="1"/>
    <col min="3842" max="3842" width="12.85546875" style="14" customWidth="1"/>
    <col min="3843" max="3843" width="30.5703125" style="14" customWidth="1"/>
    <col min="3844" max="3845" width="11.42578125" style="14" customWidth="1"/>
    <col min="3846" max="3846" width="23.85546875" style="14" customWidth="1"/>
    <col min="3847" max="4097" width="11.42578125" style="14" customWidth="1"/>
    <col min="4098" max="4098" width="12.85546875" style="14" customWidth="1"/>
    <col min="4099" max="4099" width="30.5703125" style="14" customWidth="1"/>
    <col min="4100" max="4101" width="11.42578125" style="14" customWidth="1"/>
    <col min="4102" max="4102" width="23.85546875" style="14" customWidth="1"/>
    <col min="4103" max="4353" width="11.42578125" style="14" customWidth="1"/>
    <col min="4354" max="4354" width="12.85546875" style="14" customWidth="1"/>
    <col min="4355" max="4355" width="30.5703125" style="14" customWidth="1"/>
    <col min="4356" max="4357" width="11.42578125" style="14" customWidth="1"/>
    <col min="4358" max="4358" width="23.85546875" style="14" customWidth="1"/>
    <col min="4359" max="4609" width="11.42578125" style="14" customWidth="1"/>
    <col min="4610" max="4610" width="12.85546875" style="14" customWidth="1"/>
    <col min="4611" max="4611" width="30.5703125" style="14" customWidth="1"/>
    <col min="4612" max="4613" width="11.42578125" style="14" customWidth="1"/>
    <col min="4614" max="4614" width="23.85546875" style="14" customWidth="1"/>
    <col min="4615" max="4865" width="11.42578125" style="14" customWidth="1"/>
    <col min="4866" max="4866" width="12.85546875" style="14" customWidth="1"/>
    <col min="4867" max="4867" width="30.5703125" style="14" customWidth="1"/>
    <col min="4868" max="4869" width="11.42578125" style="14" customWidth="1"/>
    <col min="4870" max="4870" width="23.85546875" style="14" customWidth="1"/>
    <col min="4871" max="5121" width="11.42578125" style="14" customWidth="1"/>
    <col min="5122" max="5122" width="12.85546875" style="14" customWidth="1"/>
    <col min="5123" max="5123" width="30.5703125" style="14" customWidth="1"/>
    <col min="5124" max="5125" width="11.42578125" style="14" customWidth="1"/>
    <col min="5126" max="5126" width="23.85546875" style="14" customWidth="1"/>
    <col min="5127" max="5377" width="11.42578125" style="14" customWidth="1"/>
    <col min="5378" max="5378" width="12.85546875" style="14" customWidth="1"/>
    <col min="5379" max="5379" width="30.5703125" style="14" customWidth="1"/>
    <col min="5380" max="5381" width="11.42578125" style="14" customWidth="1"/>
    <col min="5382" max="5382" width="23.85546875" style="14" customWidth="1"/>
    <col min="5383" max="5633" width="11.42578125" style="14" customWidth="1"/>
    <col min="5634" max="5634" width="12.85546875" style="14" customWidth="1"/>
    <col min="5635" max="5635" width="30.5703125" style="14" customWidth="1"/>
    <col min="5636" max="5637" width="11.42578125" style="14" customWidth="1"/>
    <col min="5638" max="5638" width="23.85546875" style="14" customWidth="1"/>
    <col min="5639" max="5889" width="11.42578125" style="14" customWidth="1"/>
    <col min="5890" max="5890" width="12.85546875" style="14" customWidth="1"/>
    <col min="5891" max="5891" width="30.5703125" style="14" customWidth="1"/>
    <col min="5892" max="5893" width="11.42578125" style="14" customWidth="1"/>
    <col min="5894" max="5894" width="23.85546875" style="14" customWidth="1"/>
    <col min="5895" max="6145" width="11.42578125" style="14" customWidth="1"/>
    <col min="6146" max="6146" width="12.85546875" style="14" customWidth="1"/>
    <col min="6147" max="6147" width="30.5703125" style="14" customWidth="1"/>
    <col min="6148" max="6149" width="11.42578125" style="14" customWidth="1"/>
    <col min="6150" max="6150" width="23.85546875" style="14" customWidth="1"/>
    <col min="6151" max="6401" width="11.42578125" style="14" customWidth="1"/>
    <col min="6402" max="6402" width="12.85546875" style="14" customWidth="1"/>
    <col min="6403" max="6403" width="30.5703125" style="14" customWidth="1"/>
    <col min="6404" max="6405" width="11.42578125" style="14" customWidth="1"/>
    <col min="6406" max="6406" width="23.85546875" style="14" customWidth="1"/>
    <col min="6407" max="6657" width="11.42578125" style="14" customWidth="1"/>
    <col min="6658" max="6658" width="12.85546875" style="14" customWidth="1"/>
    <col min="6659" max="6659" width="30.5703125" style="14" customWidth="1"/>
    <col min="6660" max="6661" width="11.42578125" style="14" customWidth="1"/>
    <col min="6662" max="6662" width="23.85546875" style="14" customWidth="1"/>
    <col min="6663" max="6913" width="11.42578125" style="14" customWidth="1"/>
    <col min="6914" max="6914" width="12.85546875" style="14" customWidth="1"/>
    <col min="6915" max="6915" width="30.5703125" style="14" customWidth="1"/>
    <col min="6916" max="6917" width="11.42578125" style="14" customWidth="1"/>
    <col min="6918" max="6918" width="23.85546875" style="14" customWidth="1"/>
    <col min="6919" max="7169" width="11.42578125" style="14" customWidth="1"/>
    <col min="7170" max="7170" width="12.85546875" style="14" customWidth="1"/>
    <col min="7171" max="7171" width="30.5703125" style="14" customWidth="1"/>
    <col min="7172" max="7173" width="11.42578125" style="14" customWidth="1"/>
    <col min="7174" max="7174" width="23.85546875" style="14" customWidth="1"/>
    <col min="7175" max="7425" width="11.42578125" style="14" customWidth="1"/>
    <col min="7426" max="7426" width="12.85546875" style="14" customWidth="1"/>
    <col min="7427" max="7427" width="30.5703125" style="14" customWidth="1"/>
    <col min="7428" max="7429" width="11.42578125" style="14" customWidth="1"/>
    <col min="7430" max="7430" width="23.85546875" style="14" customWidth="1"/>
    <col min="7431" max="7681" width="11.42578125" style="14" customWidth="1"/>
    <col min="7682" max="7682" width="12.85546875" style="14" customWidth="1"/>
    <col min="7683" max="7683" width="30.5703125" style="14" customWidth="1"/>
    <col min="7684" max="7685" width="11.42578125" style="14" customWidth="1"/>
    <col min="7686" max="7686" width="23.85546875" style="14" customWidth="1"/>
    <col min="7687" max="7937" width="11.42578125" style="14" customWidth="1"/>
    <col min="7938" max="7938" width="12.85546875" style="14" customWidth="1"/>
    <col min="7939" max="7939" width="30.5703125" style="14" customWidth="1"/>
    <col min="7940" max="7941" width="11.42578125" style="14" customWidth="1"/>
    <col min="7942" max="7942" width="23.85546875" style="14" customWidth="1"/>
    <col min="7943" max="8193" width="11.42578125" style="14" customWidth="1"/>
    <col min="8194" max="8194" width="12.85546875" style="14" customWidth="1"/>
    <col min="8195" max="8195" width="30.5703125" style="14" customWidth="1"/>
    <col min="8196" max="8197" width="11.42578125" style="14" customWidth="1"/>
    <col min="8198" max="8198" width="23.85546875" style="14" customWidth="1"/>
    <col min="8199" max="8449" width="11.42578125" style="14" customWidth="1"/>
    <col min="8450" max="8450" width="12.85546875" style="14" customWidth="1"/>
    <col min="8451" max="8451" width="30.5703125" style="14" customWidth="1"/>
    <col min="8452" max="8453" width="11.42578125" style="14" customWidth="1"/>
    <col min="8454" max="8454" width="23.85546875" style="14" customWidth="1"/>
    <col min="8455" max="8705" width="11.42578125" style="14" customWidth="1"/>
    <col min="8706" max="8706" width="12.85546875" style="14" customWidth="1"/>
    <col min="8707" max="8707" width="30.5703125" style="14" customWidth="1"/>
    <col min="8708" max="8709" width="11.42578125" style="14" customWidth="1"/>
    <col min="8710" max="8710" width="23.85546875" style="14" customWidth="1"/>
    <col min="8711" max="8961" width="11.42578125" style="14" customWidth="1"/>
    <col min="8962" max="8962" width="12.85546875" style="14" customWidth="1"/>
    <col min="8963" max="8963" width="30.5703125" style="14" customWidth="1"/>
    <col min="8964" max="8965" width="11.42578125" style="14" customWidth="1"/>
    <col min="8966" max="8966" width="23.85546875" style="14" customWidth="1"/>
    <col min="8967" max="9217" width="11.42578125" style="14" customWidth="1"/>
    <col min="9218" max="9218" width="12.85546875" style="14" customWidth="1"/>
    <col min="9219" max="9219" width="30.5703125" style="14" customWidth="1"/>
    <col min="9220" max="9221" width="11.42578125" style="14" customWidth="1"/>
    <col min="9222" max="9222" width="23.85546875" style="14" customWidth="1"/>
    <col min="9223" max="9473" width="11.42578125" style="14" customWidth="1"/>
    <col min="9474" max="9474" width="12.85546875" style="14" customWidth="1"/>
    <col min="9475" max="9475" width="30.5703125" style="14" customWidth="1"/>
    <col min="9476" max="9477" width="11.42578125" style="14" customWidth="1"/>
    <col min="9478" max="9478" width="23.85546875" style="14" customWidth="1"/>
    <col min="9479" max="9729" width="11.42578125" style="14" customWidth="1"/>
    <col min="9730" max="9730" width="12.85546875" style="14" customWidth="1"/>
    <col min="9731" max="9731" width="30.5703125" style="14" customWidth="1"/>
    <col min="9732" max="9733" width="11.42578125" style="14" customWidth="1"/>
    <col min="9734" max="9734" width="23.85546875" style="14" customWidth="1"/>
    <col min="9735" max="9985" width="11.42578125" style="14" customWidth="1"/>
    <col min="9986" max="9986" width="12.85546875" style="14" customWidth="1"/>
    <col min="9987" max="9987" width="30.5703125" style="14" customWidth="1"/>
    <col min="9988" max="9989" width="11.42578125" style="14" customWidth="1"/>
    <col min="9990" max="9990" width="23.85546875" style="14" customWidth="1"/>
    <col min="9991" max="10241" width="11.42578125" style="14" customWidth="1"/>
    <col min="10242" max="10242" width="12.85546875" style="14" customWidth="1"/>
    <col min="10243" max="10243" width="30.5703125" style="14" customWidth="1"/>
    <col min="10244" max="10245" width="11.42578125" style="14" customWidth="1"/>
    <col min="10246" max="10246" width="23.85546875" style="14" customWidth="1"/>
    <col min="10247" max="10497" width="11.42578125" style="14" customWidth="1"/>
    <col min="10498" max="10498" width="12.85546875" style="14" customWidth="1"/>
    <col min="10499" max="10499" width="30.5703125" style="14" customWidth="1"/>
    <col min="10500" max="10501" width="11.42578125" style="14" customWidth="1"/>
    <col min="10502" max="10502" width="23.85546875" style="14" customWidth="1"/>
    <col min="10503" max="10753" width="11.42578125" style="14" customWidth="1"/>
    <col min="10754" max="10754" width="12.85546875" style="14" customWidth="1"/>
    <col min="10755" max="10755" width="30.5703125" style="14" customWidth="1"/>
    <col min="10756" max="10757" width="11.42578125" style="14" customWidth="1"/>
    <col min="10758" max="10758" width="23.85546875" style="14" customWidth="1"/>
    <col min="10759" max="11009" width="11.42578125" style="14" customWidth="1"/>
    <col min="11010" max="11010" width="12.85546875" style="14" customWidth="1"/>
    <col min="11011" max="11011" width="30.5703125" style="14" customWidth="1"/>
    <col min="11012" max="11013" width="11.42578125" style="14" customWidth="1"/>
    <col min="11014" max="11014" width="23.85546875" style="14" customWidth="1"/>
    <col min="11015" max="11265" width="11.42578125" style="14" customWidth="1"/>
    <col min="11266" max="11266" width="12.85546875" style="14" customWidth="1"/>
    <col min="11267" max="11267" width="30.5703125" style="14" customWidth="1"/>
    <col min="11268" max="11269" width="11.42578125" style="14" customWidth="1"/>
    <col min="11270" max="11270" width="23.85546875" style="14" customWidth="1"/>
    <col min="11271" max="11521" width="11.42578125" style="14" customWidth="1"/>
    <col min="11522" max="11522" width="12.85546875" style="14" customWidth="1"/>
    <col min="11523" max="11523" width="30.5703125" style="14" customWidth="1"/>
    <col min="11524" max="11525" width="11.42578125" style="14" customWidth="1"/>
    <col min="11526" max="11526" width="23.85546875" style="14" customWidth="1"/>
    <col min="11527" max="11777" width="11.42578125" style="14" customWidth="1"/>
    <col min="11778" max="11778" width="12.85546875" style="14" customWidth="1"/>
    <col min="11779" max="11779" width="30.5703125" style="14" customWidth="1"/>
    <col min="11780" max="11781" width="11.42578125" style="14" customWidth="1"/>
    <col min="11782" max="11782" width="23.85546875" style="14" customWidth="1"/>
    <col min="11783" max="12033" width="11.42578125" style="14" customWidth="1"/>
    <col min="12034" max="12034" width="12.85546875" style="14" customWidth="1"/>
    <col min="12035" max="12035" width="30.5703125" style="14" customWidth="1"/>
    <col min="12036" max="12037" width="11.42578125" style="14" customWidth="1"/>
    <col min="12038" max="12038" width="23.85546875" style="14" customWidth="1"/>
    <col min="12039" max="12289" width="11.42578125" style="14" customWidth="1"/>
    <col min="12290" max="12290" width="12.85546875" style="14" customWidth="1"/>
    <col min="12291" max="12291" width="30.5703125" style="14" customWidth="1"/>
    <col min="12292" max="12293" width="11.42578125" style="14" customWidth="1"/>
    <col min="12294" max="12294" width="23.85546875" style="14" customWidth="1"/>
    <col min="12295" max="12545" width="11.42578125" style="14" customWidth="1"/>
    <col min="12546" max="12546" width="12.85546875" style="14" customWidth="1"/>
    <col min="12547" max="12547" width="30.5703125" style="14" customWidth="1"/>
    <col min="12548" max="12549" width="11.42578125" style="14" customWidth="1"/>
    <col min="12550" max="12550" width="23.85546875" style="14" customWidth="1"/>
    <col min="12551" max="12801" width="11.42578125" style="14" customWidth="1"/>
    <col min="12802" max="12802" width="12.85546875" style="14" customWidth="1"/>
    <col min="12803" max="12803" width="30.5703125" style="14" customWidth="1"/>
    <col min="12804" max="12805" width="11.42578125" style="14" customWidth="1"/>
    <col min="12806" max="12806" width="23.85546875" style="14" customWidth="1"/>
    <col min="12807" max="13057" width="11.42578125" style="14" customWidth="1"/>
    <col min="13058" max="13058" width="12.85546875" style="14" customWidth="1"/>
    <col min="13059" max="13059" width="30.5703125" style="14" customWidth="1"/>
    <col min="13060" max="13061" width="11.42578125" style="14" customWidth="1"/>
    <col min="13062" max="13062" width="23.85546875" style="14" customWidth="1"/>
    <col min="13063" max="13313" width="11.42578125" style="14" customWidth="1"/>
    <col min="13314" max="13314" width="12.85546875" style="14" customWidth="1"/>
    <col min="13315" max="13315" width="30.5703125" style="14" customWidth="1"/>
    <col min="13316" max="13317" width="11.42578125" style="14" customWidth="1"/>
    <col min="13318" max="13318" width="23.85546875" style="14" customWidth="1"/>
    <col min="13319" max="13569" width="11.42578125" style="14" customWidth="1"/>
    <col min="13570" max="13570" width="12.85546875" style="14" customWidth="1"/>
    <col min="13571" max="13571" width="30.5703125" style="14" customWidth="1"/>
    <col min="13572" max="13573" width="11.42578125" style="14" customWidth="1"/>
    <col min="13574" max="13574" width="23.85546875" style="14" customWidth="1"/>
    <col min="13575" max="13825" width="11.42578125" style="14" customWidth="1"/>
    <col min="13826" max="13826" width="12.85546875" style="14" customWidth="1"/>
    <col min="13827" max="13827" width="30.5703125" style="14" customWidth="1"/>
    <col min="13828" max="13829" width="11.42578125" style="14" customWidth="1"/>
    <col min="13830" max="13830" width="23.85546875" style="14" customWidth="1"/>
    <col min="13831" max="14081" width="11.42578125" style="14" customWidth="1"/>
    <col min="14082" max="14082" width="12.85546875" style="14" customWidth="1"/>
    <col min="14083" max="14083" width="30.5703125" style="14" customWidth="1"/>
    <col min="14084" max="14085" width="11.42578125" style="14" customWidth="1"/>
    <col min="14086" max="14086" width="23.85546875" style="14" customWidth="1"/>
    <col min="14087" max="14337" width="11.42578125" style="14" customWidth="1"/>
    <col min="14338" max="14338" width="12.85546875" style="14" customWidth="1"/>
    <col min="14339" max="14339" width="30.5703125" style="14" customWidth="1"/>
    <col min="14340" max="14341" width="11.42578125" style="14" customWidth="1"/>
    <col min="14342" max="14342" width="23.85546875" style="14" customWidth="1"/>
    <col min="14343" max="14593" width="11.42578125" style="14" customWidth="1"/>
    <col min="14594" max="14594" width="12.85546875" style="14" customWidth="1"/>
    <col min="14595" max="14595" width="30.5703125" style="14" customWidth="1"/>
    <col min="14596" max="14597" width="11.42578125" style="14" customWidth="1"/>
    <col min="14598" max="14598" width="23.85546875" style="14" customWidth="1"/>
    <col min="14599" max="14849" width="11.42578125" style="14" customWidth="1"/>
    <col min="14850" max="14850" width="12.85546875" style="14" customWidth="1"/>
    <col min="14851" max="14851" width="30.5703125" style="14" customWidth="1"/>
    <col min="14852" max="14853" width="11.42578125" style="14" customWidth="1"/>
    <col min="14854" max="14854" width="23.85546875" style="14" customWidth="1"/>
    <col min="14855" max="15105" width="11.42578125" style="14" customWidth="1"/>
    <col min="15106" max="15106" width="12.85546875" style="14" customWidth="1"/>
    <col min="15107" max="15107" width="30.5703125" style="14" customWidth="1"/>
    <col min="15108" max="15109" width="11.42578125" style="14" customWidth="1"/>
    <col min="15110" max="15110" width="23.85546875" style="14" customWidth="1"/>
    <col min="15111" max="15361" width="11.42578125" style="14" customWidth="1"/>
    <col min="15362" max="15362" width="12.85546875" style="14" customWidth="1"/>
    <col min="15363" max="15363" width="30.5703125" style="14" customWidth="1"/>
    <col min="15364" max="15365" width="11.42578125" style="14" customWidth="1"/>
    <col min="15366" max="15366" width="23.85546875" style="14" customWidth="1"/>
    <col min="15367" max="15617" width="11.42578125" style="14" customWidth="1"/>
    <col min="15618" max="15618" width="12.85546875" style="14" customWidth="1"/>
    <col min="15619" max="15619" width="30.5703125" style="14" customWidth="1"/>
    <col min="15620" max="15621" width="11.42578125" style="14" customWidth="1"/>
    <col min="15622" max="15622" width="23.85546875" style="14" customWidth="1"/>
    <col min="15623" max="15873" width="11.42578125" style="14" customWidth="1"/>
    <col min="15874" max="15874" width="12.85546875" style="14" customWidth="1"/>
    <col min="15875" max="15875" width="30.5703125" style="14" customWidth="1"/>
    <col min="15876" max="15877" width="11.42578125" style="14" customWidth="1"/>
    <col min="15878" max="15878" width="23.85546875" style="14" customWidth="1"/>
    <col min="15879" max="16129" width="11.42578125" style="14" customWidth="1"/>
    <col min="16130" max="16130" width="12.85546875" style="14" customWidth="1"/>
    <col min="16131" max="16131" width="30.5703125" style="14" customWidth="1"/>
    <col min="16132" max="16133" width="11.42578125" style="14" customWidth="1"/>
    <col min="16134" max="16134" width="23.85546875" style="14" customWidth="1"/>
    <col min="16135" max="16384" width="11.42578125" style="14" customWidth="1"/>
  </cols>
  <sheetData>
    <row r="2" spans="2:8" ht="31.5" x14ac:dyDescent="0.25">
      <c r="B2" s="179" t="s">
        <v>14</v>
      </c>
      <c r="C2" s="180" t="s">
        <v>15</v>
      </c>
      <c r="D2" s="179" t="s">
        <v>51</v>
      </c>
      <c r="E2" s="179" t="s">
        <v>72</v>
      </c>
      <c r="F2" s="179" t="s">
        <v>86</v>
      </c>
      <c r="G2"/>
      <c r="H2" s="161" t="s">
        <v>105</v>
      </c>
    </row>
    <row r="3" spans="2:8" x14ac:dyDescent="0.25">
      <c r="B3" s="17">
        <v>0.5</v>
      </c>
      <c r="C3" s="17">
        <v>181</v>
      </c>
      <c r="D3" s="91">
        <f>LN(C3)</f>
        <v>5.1984970312658261</v>
      </c>
      <c r="E3" s="92">
        <f t="shared" ref="E3:E22" si="0">$J$20*EXP($J$19*B3)</f>
        <v>176.91295714004968</v>
      </c>
      <c r="F3" s="92">
        <f>C3-E3</f>
        <v>4.0870428599503157</v>
      </c>
      <c r="G3"/>
    </row>
    <row r="4" spans="2:8" x14ac:dyDescent="0.25">
      <c r="B4" s="17">
        <v>1.35</v>
      </c>
      <c r="C4" s="17">
        <v>33</v>
      </c>
      <c r="D4" s="91">
        <f t="shared" ref="D4:D22" si="1">LN(C4)</f>
        <v>3.4965075614664802</v>
      </c>
      <c r="E4" s="92">
        <f t="shared" si="0"/>
        <v>31.993046379110137</v>
      </c>
      <c r="F4" s="92">
        <f t="shared" ref="F4:F22" si="2">C4-E4</f>
        <v>1.0069536208898633</v>
      </c>
      <c r="G4"/>
    </row>
    <row r="5" spans="2:8" x14ac:dyDescent="0.25">
      <c r="B5" s="17">
        <v>0.79</v>
      </c>
      <c r="C5" s="17">
        <v>91</v>
      </c>
      <c r="D5" s="91">
        <f t="shared" si="1"/>
        <v>4.5108595065168497</v>
      </c>
      <c r="E5" s="92">
        <f t="shared" si="0"/>
        <v>98.711214811157205</v>
      </c>
      <c r="F5" s="92">
        <f t="shared" si="2"/>
        <v>-7.7112148111572054</v>
      </c>
      <c r="G5"/>
    </row>
    <row r="6" spans="2:8" x14ac:dyDescent="0.25">
      <c r="B6" s="17">
        <v>1.71</v>
      </c>
      <c r="C6" s="17">
        <v>13</v>
      </c>
      <c r="D6" s="91">
        <f t="shared" si="1"/>
        <v>2.5649493574615367</v>
      </c>
      <c r="E6" s="92">
        <f t="shared" si="0"/>
        <v>15.505957445062185</v>
      </c>
      <c r="F6" s="92">
        <f t="shared" si="2"/>
        <v>-2.5059574450621849</v>
      </c>
      <c r="G6"/>
    </row>
    <row r="7" spans="2:8" x14ac:dyDescent="0.25">
      <c r="B7" s="17">
        <v>1.38</v>
      </c>
      <c r="C7" s="17">
        <v>34</v>
      </c>
      <c r="D7" s="91">
        <f t="shared" si="1"/>
        <v>3.5263605246161616</v>
      </c>
      <c r="E7" s="92">
        <f t="shared" si="0"/>
        <v>30.119136145853751</v>
      </c>
      <c r="F7" s="92">
        <f t="shared" si="2"/>
        <v>3.8808638541462486</v>
      </c>
      <c r="G7"/>
    </row>
    <row r="8" spans="2:8" x14ac:dyDescent="0.25">
      <c r="B8" s="17">
        <v>1.22</v>
      </c>
      <c r="C8" s="17">
        <v>47</v>
      </c>
      <c r="D8" s="91">
        <f t="shared" si="1"/>
        <v>3.8501476017100584</v>
      </c>
      <c r="E8" s="92">
        <f t="shared" si="0"/>
        <v>41.557137591183697</v>
      </c>
      <c r="F8" s="92">
        <f t="shared" si="2"/>
        <v>5.4428624088163033</v>
      </c>
      <c r="G8"/>
    </row>
    <row r="9" spans="2:8" x14ac:dyDescent="0.25">
      <c r="B9" s="17">
        <v>1.03</v>
      </c>
      <c r="C9" s="17">
        <v>73</v>
      </c>
      <c r="D9" s="91">
        <f t="shared" si="1"/>
        <v>4.290459441148391</v>
      </c>
      <c r="E9" s="92">
        <f t="shared" si="0"/>
        <v>60.90624494950913</v>
      </c>
      <c r="F9" s="92">
        <f t="shared" si="2"/>
        <v>12.09375505049087</v>
      </c>
      <c r="G9"/>
    </row>
    <row r="10" spans="2:8" x14ac:dyDescent="0.25">
      <c r="B10" s="17">
        <v>1.84</v>
      </c>
      <c r="C10" s="17">
        <v>11</v>
      </c>
      <c r="D10" s="91">
        <f t="shared" si="1"/>
        <v>2.3978952727983707</v>
      </c>
      <c r="E10" s="92">
        <f t="shared" si="0"/>
        <v>11.937367307935713</v>
      </c>
      <c r="F10" s="92">
        <f t="shared" si="2"/>
        <v>-0.93736730793571255</v>
      </c>
      <c r="G10"/>
    </row>
    <row r="11" spans="2:8" x14ac:dyDescent="0.25">
      <c r="B11" s="17">
        <v>1.73</v>
      </c>
      <c r="C11" s="17">
        <v>15</v>
      </c>
      <c r="D11" s="91">
        <f t="shared" si="1"/>
        <v>2.7080502011022101</v>
      </c>
      <c r="E11" s="92">
        <f t="shared" si="0"/>
        <v>14.894406360538328</v>
      </c>
      <c r="F11" s="92">
        <f t="shared" si="2"/>
        <v>0.10559363946167188</v>
      </c>
      <c r="G11"/>
    </row>
    <row r="12" spans="2:8" x14ac:dyDescent="0.25">
      <c r="B12" s="17">
        <v>1.62</v>
      </c>
      <c r="C12" s="17">
        <v>20</v>
      </c>
      <c r="D12" s="91">
        <f t="shared" si="1"/>
        <v>2.9957322735539909</v>
      </c>
      <c r="E12" s="92">
        <f t="shared" si="0"/>
        <v>18.583941928750711</v>
      </c>
      <c r="F12" s="92">
        <f t="shared" si="2"/>
        <v>1.4160580712492887</v>
      </c>
      <c r="G12"/>
    </row>
    <row r="13" spans="2:8" x14ac:dyDescent="0.25">
      <c r="B13" s="17">
        <v>0.76</v>
      </c>
      <c r="C13" s="17">
        <v>91</v>
      </c>
      <c r="D13" s="91">
        <f t="shared" si="1"/>
        <v>4.5108595065168497</v>
      </c>
      <c r="E13" s="92">
        <f t="shared" si="0"/>
        <v>104.85269093703415</v>
      </c>
      <c r="F13" s="92">
        <f t="shared" si="2"/>
        <v>-13.852690937034154</v>
      </c>
      <c r="G13"/>
    </row>
    <row r="14" spans="2:8" x14ac:dyDescent="0.25">
      <c r="B14" s="17">
        <v>1.79</v>
      </c>
      <c r="C14" s="17">
        <v>13</v>
      </c>
      <c r="D14" s="91">
        <f t="shared" si="1"/>
        <v>2.5649493574615367</v>
      </c>
      <c r="E14" s="92">
        <f t="shared" si="0"/>
        <v>13.200702099878578</v>
      </c>
      <c r="F14" s="92">
        <f t="shared" si="2"/>
        <v>-0.20070209987857801</v>
      </c>
      <c r="G14"/>
    </row>
    <row r="15" spans="2:8" x14ac:dyDescent="0.25">
      <c r="B15" s="17">
        <v>1.57</v>
      </c>
      <c r="C15" s="17">
        <v>22</v>
      </c>
      <c r="D15" s="91">
        <f t="shared" si="1"/>
        <v>3.0910424533583161</v>
      </c>
      <c r="E15" s="92">
        <f t="shared" si="0"/>
        <v>20.550685499959172</v>
      </c>
      <c r="F15" s="92">
        <f t="shared" si="2"/>
        <v>1.4493145000408276</v>
      </c>
      <c r="G15"/>
    </row>
    <row r="16" spans="2:8" x14ac:dyDescent="0.25">
      <c r="B16" s="17">
        <v>1.27</v>
      </c>
      <c r="C16" s="17">
        <v>34</v>
      </c>
      <c r="D16" s="91">
        <f t="shared" si="1"/>
        <v>3.5263605246161616</v>
      </c>
      <c r="E16" s="92">
        <f t="shared" si="0"/>
        <v>37.580032633032872</v>
      </c>
      <c r="F16" s="92">
        <f t="shared" si="2"/>
        <v>-3.5800326330328716</v>
      </c>
      <c r="G16"/>
    </row>
    <row r="17" spans="2:17" x14ac:dyDescent="0.25">
      <c r="B17" s="17">
        <v>0.96</v>
      </c>
      <c r="C17" s="17">
        <v>74</v>
      </c>
      <c r="D17" s="91">
        <f t="shared" si="1"/>
        <v>4.3040650932041702</v>
      </c>
      <c r="E17" s="92">
        <f t="shared" si="0"/>
        <v>70.117381211963647</v>
      </c>
      <c r="F17" s="92">
        <f t="shared" si="2"/>
        <v>3.8826187880363534</v>
      </c>
      <c r="G17"/>
    </row>
    <row r="18" spans="2:17" x14ac:dyDescent="0.25">
      <c r="B18" s="17">
        <v>0.52</v>
      </c>
      <c r="C18" s="17">
        <v>164</v>
      </c>
      <c r="D18" s="91">
        <f t="shared" si="1"/>
        <v>5.0998664278241987</v>
      </c>
      <c r="E18" s="92">
        <f t="shared" si="0"/>
        <v>169.93555434575964</v>
      </c>
      <c r="F18" s="92">
        <f t="shared" si="2"/>
        <v>-5.9355543457596411</v>
      </c>
      <c r="G18"/>
      <c r="H18" s="161" t="s">
        <v>106</v>
      </c>
      <c r="I18" s="162" t="s">
        <v>91</v>
      </c>
      <c r="J18" s="163">
        <f>INTERCEPT(D3:D22,B3:B22)</f>
        <v>6.1816221178770121</v>
      </c>
    </row>
    <row r="19" spans="2:17" x14ac:dyDescent="0.25">
      <c r="B19" s="17">
        <v>0.64</v>
      </c>
      <c r="C19" s="17">
        <v>129</v>
      </c>
      <c r="D19" s="91">
        <f t="shared" si="1"/>
        <v>4.8598124043616719</v>
      </c>
      <c r="E19" s="92">
        <f t="shared" si="0"/>
        <v>133.48483119452001</v>
      </c>
      <c r="F19" s="92">
        <f t="shared" si="2"/>
        <v>-4.4848311945200123</v>
      </c>
      <c r="G19"/>
      <c r="I19" s="162" t="s">
        <v>22</v>
      </c>
      <c r="J19" s="163">
        <f>SLOPE(D3:D22,B3:B22)</f>
        <v>-2.0119285476617046</v>
      </c>
    </row>
    <row r="20" spans="2:17" x14ac:dyDescent="0.25">
      <c r="B20" s="17">
        <v>1.05</v>
      </c>
      <c r="C20" s="17">
        <v>55</v>
      </c>
      <c r="D20" s="91">
        <f t="shared" si="1"/>
        <v>4.0073331852324712</v>
      </c>
      <c r="E20" s="92">
        <f t="shared" si="0"/>
        <v>58.504117877697183</v>
      </c>
      <c r="F20" s="92">
        <f t="shared" si="2"/>
        <v>-3.5041178776971833</v>
      </c>
      <c r="G20"/>
      <c r="I20" s="162" t="s">
        <v>21</v>
      </c>
      <c r="J20" s="163">
        <f>EXP(J18)</f>
        <v>483.77606202361903</v>
      </c>
    </row>
    <row r="21" spans="2:17" x14ac:dyDescent="0.25">
      <c r="B21" s="17">
        <v>0.72</v>
      </c>
      <c r="C21" s="17">
        <v>107</v>
      </c>
      <c r="D21" s="91">
        <f t="shared" si="1"/>
        <v>4.6728288344619058</v>
      </c>
      <c r="E21" s="92">
        <f t="shared" si="0"/>
        <v>113.63977346736307</v>
      </c>
      <c r="F21" s="92">
        <f t="shared" si="2"/>
        <v>-6.6397734673630708</v>
      </c>
      <c r="G21"/>
    </row>
    <row r="22" spans="2:17" x14ac:dyDescent="0.25">
      <c r="B22" s="17">
        <v>0.75</v>
      </c>
      <c r="C22" s="17">
        <v>119</v>
      </c>
      <c r="D22" s="91">
        <f t="shared" si="1"/>
        <v>4.7791234931115296</v>
      </c>
      <c r="E22" s="92">
        <f t="shared" si="0"/>
        <v>106.98361662996741</v>
      </c>
      <c r="F22" s="92">
        <f t="shared" si="2"/>
        <v>12.016383370032585</v>
      </c>
      <c r="G22"/>
      <c r="H22" s="161" t="s">
        <v>107</v>
      </c>
      <c r="I22" s="162" t="s">
        <v>92</v>
      </c>
      <c r="J22" s="163">
        <f>SUMSQ(F3:F22)</f>
        <v>755.33294782459939</v>
      </c>
    </row>
    <row r="23" spans="2:17" x14ac:dyDescent="0.25">
      <c r="I23" s="162" t="s">
        <v>93</v>
      </c>
      <c r="J23" s="164">
        <f>COUNT(B3:B22)</f>
        <v>20</v>
      </c>
    </row>
    <row r="25" spans="2:17" x14ac:dyDescent="0.25">
      <c r="I25" s="162" t="s">
        <v>73</v>
      </c>
      <c r="J25" s="163">
        <f>J22/J23</f>
        <v>37.766647391229967</v>
      </c>
    </row>
    <row r="26" spans="2:17" x14ac:dyDescent="0.25">
      <c r="I26" s="162" t="s">
        <v>89</v>
      </c>
      <c r="J26" s="163">
        <f>_xlfn.VAR.P(C3:C22)</f>
        <v>2578.21</v>
      </c>
    </row>
    <row r="27" spans="2:17" x14ac:dyDescent="0.25">
      <c r="F27" s="15"/>
      <c r="I27" s="162" t="s">
        <v>116</v>
      </c>
      <c r="J27" s="165">
        <f>1-J25/J26</f>
        <v>0.9853516015409024</v>
      </c>
    </row>
    <row r="29" spans="2:17" x14ac:dyDescent="0.25">
      <c r="I29" s="162" t="s">
        <v>117</v>
      </c>
      <c r="J29" s="167">
        <f>RSQ(D3:D22,B3:B22)</f>
        <v>0.98890439555980225</v>
      </c>
    </row>
    <row r="31" spans="2:17" ht="16.5" x14ac:dyDescent="0.3">
      <c r="F31"/>
      <c r="H31" s="161" t="s">
        <v>108</v>
      </c>
      <c r="I31" s="162" t="s">
        <v>94</v>
      </c>
      <c r="J31" s="163">
        <v>0.8</v>
      </c>
      <c r="N31" s="176" t="s">
        <v>112</v>
      </c>
      <c r="O31" s="177">
        <f>MAX(B3:B22)</f>
        <v>1.84</v>
      </c>
      <c r="P31" s="176" t="s">
        <v>113</v>
      </c>
      <c r="Q31" s="177">
        <f>MIN(B3:B22)</f>
        <v>0.5</v>
      </c>
    </row>
    <row r="32" spans="2:17" x14ac:dyDescent="0.25">
      <c r="F32"/>
      <c r="I32" s="162" t="s">
        <v>95</v>
      </c>
      <c r="J32" s="163">
        <f>$J$20*EXP($J$19*J31)</f>
        <v>96.745060829381742</v>
      </c>
      <c r="K32" s="14" t="s">
        <v>99</v>
      </c>
    </row>
    <row r="33" spans="6:11" x14ac:dyDescent="0.25">
      <c r="F33"/>
      <c r="H33" s="166"/>
      <c r="I33" s="16"/>
    </row>
    <row r="34" spans="6:11" x14ac:dyDescent="0.25">
      <c r="F34"/>
      <c r="H34" s="161" t="s">
        <v>115</v>
      </c>
      <c r="I34" s="162" t="s">
        <v>94</v>
      </c>
      <c r="J34" s="163">
        <v>3</v>
      </c>
    </row>
    <row r="35" spans="6:11" x14ac:dyDescent="0.25">
      <c r="I35" s="162" t="s">
        <v>95</v>
      </c>
      <c r="J35" s="163">
        <f>$J$20*EXP($J$19*J34)</f>
        <v>1.1570069728901868</v>
      </c>
      <c r="K35" s="168" t="s">
        <v>100</v>
      </c>
    </row>
  </sheetData>
  <pageMargins left="0.7" right="0.7" top="0.75" bottom="0.75" header="0.3" footer="0.3"/>
  <pageSetup paperSize="9" orientation="portrait" copies="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L50"/>
  <sheetViews>
    <sheetView topLeftCell="A4" workbookViewId="0">
      <selection activeCell="O25" sqref="O25"/>
    </sheetView>
  </sheetViews>
  <sheetFormatPr baseColWidth="10" defaultColWidth="11.42578125" defaultRowHeight="15.75" x14ac:dyDescent="0.25"/>
  <cols>
    <col min="1" max="2" width="9.28515625" style="22" customWidth="1"/>
    <col min="3" max="3" width="13.42578125" style="22" customWidth="1"/>
    <col min="4" max="4" width="13.28515625" style="22" bestFit="1" customWidth="1"/>
    <col min="5" max="7" width="13.42578125" style="22" customWidth="1"/>
    <col min="8" max="8" width="11.42578125" style="22"/>
    <col min="9" max="9" width="17.28515625" style="22" customWidth="1"/>
    <col min="10" max="10" width="16.42578125" style="22" customWidth="1"/>
    <col min="11" max="11" width="13.5703125" style="22" customWidth="1"/>
    <col min="12" max="16384" width="11.42578125" style="22"/>
  </cols>
  <sheetData>
    <row r="12" spans="1:11" x14ac:dyDescent="0.25">
      <c r="A12" s="18" t="s">
        <v>2</v>
      </c>
      <c r="B12" s="19" t="s">
        <v>16</v>
      </c>
      <c r="C12" s="20"/>
      <c r="D12" s="21"/>
      <c r="E12" s="21"/>
      <c r="F12" s="21"/>
      <c r="G12" s="21"/>
    </row>
    <row r="13" spans="1:11" x14ac:dyDescent="0.25">
      <c r="A13" s="18" t="s">
        <v>3</v>
      </c>
      <c r="B13" s="19" t="s">
        <v>17</v>
      </c>
      <c r="C13" s="20"/>
      <c r="D13" s="21"/>
      <c r="E13" s="21"/>
      <c r="F13" s="21"/>
      <c r="G13" s="21"/>
    </row>
    <row r="14" spans="1:11" ht="16.5" thickBot="1" x14ac:dyDescent="0.3">
      <c r="B14" s="21"/>
      <c r="C14" s="21"/>
      <c r="D14" s="21"/>
      <c r="E14" s="21"/>
      <c r="F14" s="21"/>
      <c r="G14" s="21"/>
    </row>
    <row r="15" spans="1:11" ht="18" customHeight="1" thickBot="1" x14ac:dyDescent="0.3">
      <c r="B15" s="23" t="s">
        <v>18</v>
      </c>
      <c r="C15" s="24" t="s">
        <v>19</v>
      </c>
      <c r="D15" s="24" t="s">
        <v>20</v>
      </c>
      <c r="E15" s="181" t="s">
        <v>37</v>
      </c>
      <c r="F15" s="181" t="s">
        <v>38</v>
      </c>
      <c r="G15" s="181" t="s">
        <v>39</v>
      </c>
      <c r="H15" s="25" t="s">
        <v>40</v>
      </c>
      <c r="I15" s="25" t="s">
        <v>52</v>
      </c>
      <c r="J15" s="25" t="s">
        <v>53</v>
      </c>
      <c r="K15" s="25" t="s">
        <v>54</v>
      </c>
    </row>
    <row r="16" spans="1:11" x14ac:dyDescent="0.25">
      <c r="B16" s="26">
        <v>1</v>
      </c>
      <c r="C16" s="27">
        <v>2</v>
      </c>
      <c r="D16" s="27">
        <v>-6</v>
      </c>
      <c r="E16" s="182">
        <f t="shared" ref="E16:E25" si="0">$J$30*C16+$J$29</f>
        <v>-5.9748603351955252</v>
      </c>
      <c r="F16" s="183">
        <f t="shared" ref="F16:F25" si="1">D16-E16</f>
        <v>-2.5139664804474826E-2</v>
      </c>
      <c r="G16" s="183">
        <f>F16^2</f>
        <v>6.3200274648135026E-4</v>
      </c>
      <c r="H16" s="93">
        <f>LN(C16)</f>
        <v>0.69314718055994529</v>
      </c>
      <c r="I16" s="93">
        <f>$J$39+$J$40*H16</f>
        <v>-9.5147043583392463</v>
      </c>
      <c r="J16" s="93">
        <f>D16-I16</f>
        <v>3.5147043583392463</v>
      </c>
      <c r="K16" s="93">
        <f>J16^2</f>
        <v>12.353146726528893</v>
      </c>
    </row>
    <row r="17" spans="2:11" x14ac:dyDescent="0.25">
      <c r="B17" s="26">
        <v>2</v>
      </c>
      <c r="C17" s="27">
        <v>2.8</v>
      </c>
      <c r="D17" s="27">
        <v>-3</v>
      </c>
      <c r="E17" s="184">
        <f t="shared" si="0"/>
        <v>-3.2150837988826773</v>
      </c>
      <c r="F17" s="183">
        <f t="shared" si="1"/>
        <v>0.21508379888267726</v>
      </c>
      <c r="G17" s="183">
        <f t="shared" ref="G17:G25" si="2">F17^2</f>
        <v>4.6261040541803959E-2</v>
      </c>
      <c r="H17" s="94">
        <f t="shared" ref="H17:H25" si="3">LN(C17)</f>
        <v>1.0296194171811581</v>
      </c>
      <c r="I17" s="94">
        <f t="shared" ref="I17:I25" si="4">$J$39+$J$40*H17</f>
        <v>-3.5325568493780857</v>
      </c>
      <c r="J17" s="94">
        <f t="shared" ref="J17:J25" si="5">D17-I17</f>
        <v>0.53255684937808567</v>
      </c>
      <c r="K17" s="94">
        <f t="shared" ref="K17:K25" si="6">J17^2</f>
        <v>0.28361679781951304</v>
      </c>
    </row>
    <row r="18" spans="2:11" x14ac:dyDescent="0.25">
      <c r="B18" s="26">
        <v>3</v>
      </c>
      <c r="C18" s="27">
        <v>3.9</v>
      </c>
      <c r="D18" s="27">
        <v>0</v>
      </c>
      <c r="E18" s="184">
        <f t="shared" si="0"/>
        <v>0.57960893854748896</v>
      </c>
      <c r="F18" s="183">
        <f t="shared" si="1"/>
        <v>-0.57960893854748896</v>
      </c>
      <c r="G18" s="183">
        <f t="shared" si="2"/>
        <v>0.33594652164414684</v>
      </c>
      <c r="H18" s="94">
        <f t="shared" si="3"/>
        <v>1.3609765531356006</v>
      </c>
      <c r="I18" s="94">
        <f t="shared" si="4"/>
        <v>2.358649169078312</v>
      </c>
      <c r="J18" s="94">
        <f t="shared" si="5"/>
        <v>-2.358649169078312</v>
      </c>
      <c r="K18" s="94">
        <f t="shared" si="6"/>
        <v>5.5632259027938114</v>
      </c>
    </row>
    <row r="19" spans="2:11" x14ac:dyDescent="0.25">
      <c r="B19" s="26">
        <v>4</v>
      </c>
      <c r="C19" s="27">
        <v>4.2</v>
      </c>
      <c r="D19" s="27">
        <v>3</v>
      </c>
      <c r="E19" s="184">
        <f t="shared" si="0"/>
        <v>1.6145251396648082</v>
      </c>
      <c r="F19" s="183">
        <f t="shared" si="1"/>
        <v>1.3854748603351918</v>
      </c>
      <c r="G19" s="183">
        <f t="shared" si="2"/>
        <v>1.9195405886208194</v>
      </c>
      <c r="H19" s="94">
        <f t="shared" si="3"/>
        <v>1.4350845252893227</v>
      </c>
      <c r="I19" s="94">
        <f t="shared" si="4"/>
        <v>3.6762164829979724</v>
      </c>
      <c r="J19" s="94">
        <f t="shared" si="5"/>
        <v>-0.67621648299797243</v>
      </c>
      <c r="K19" s="94">
        <f t="shared" si="6"/>
        <v>0.45726873187814715</v>
      </c>
    </row>
    <row r="20" spans="2:11" x14ac:dyDescent="0.25">
      <c r="B20" s="26">
        <v>5</v>
      </c>
      <c r="C20" s="27">
        <v>5.8</v>
      </c>
      <c r="D20" s="27">
        <v>6</v>
      </c>
      <c r="E20" s="184">
        <f t="shared" si="0"/>
        <v>7.1340782122905058</v>
      </c>
      <c r="F20" s="183">
        <f t="shared" si="1"/>
        <v>-1.1340782122905058</v>
      </c>
      <c r="G20" s="183">
        <f t="shared" si="2"/>
        <v>1.2861333915920294</v>
      </c>
      <c r="H20" s="94">
        <f t="shared" si="3"/>
        <v>1.7578579175523736</v>
      </c>
      <c r="I20" s="94">
        <f t="shared" si="4"/>
        <v>9.4148119281225</v>
      </c>
      <c r="J20" s="94">
        <f t="shared" si="5"/>
        <v>-3.4148119281225</v>
      </c>
      <c r="K20" s="94">
        <f t="shared" si="6"/>
        <v>11.660940504447707</v>
      </c>
    </row>
    <row r="21" spans="2:11" x14ac:dyDescent="0.25">
      <c r="B21" s="26">
        <v>6</v>
      </c>
      <c r="C21" s="27">
        <v>6.2</v>
      </c>
      <c r="D21" s="27">
        <v>9</v>
      </c>
      <c r="E21" s="184">
        <f t="shared" si="0"/>
        <v>8.5139664804469302</v>
      </c>
      <c r="F21" s="183">
        <f t="shared" si="1"/>
        <v>0.48603351955306984</v>
      </c>
      <c r="G21" s="183">
        <f t="shared" si="2"/>
        <v>0.23622858212914433</v>
      </c>
      <c r="H21" s="94">
        <f t="shared" si="3"/>
        <v>1.824549292051046</v>
      </c>
      <c r="I21" s="94">
        <f t="shared" si="4"/>
        <v>10.600519384501908</v>
      </c>
      <c r="J21" s="94">
        <f t="shared" si="5"/>
        <v>-1.6005193845019079</v>
      </c>
      <c r="K21" s="94">
        <f t="shared" si="6"/>
        <v>2.5616623001663661</v>
      </c>
    </row>
    <row r="22" spans="2:11" x14ac:dyDescent="0.25">
      <c r="B22" s="26">
        <v>7</v>
      </c>
      <c r="C22" s="27">
        <v>7.5</v>
      </c>
      <c r="D22" s="27">
        <v>12</v>
      </c>
      <c r="E22" s="184">
        <f t="shared" si="0"/>
        <v>12.998603351955309</v>
      </c>
      <c r="F22" s="183">
        <f t="shared" si="1"/>
        <v>-0.99860335195530858</v>
      </c>
      <c r="G22" s="183">
        <f t="shared" si="2"/>
        <v>0.99720865453637786</v>
      </c>
      <c r="H22" s="94">
        <f t="shared" si="3"/>
        <v>2.0149030205422647</v>
      </c>
      <c r="I22" s="94">
        <f t="shared" si="4"/>
        <v>13.98482263088578</v>
      </c>
      <c r="J22" s="94">
        <f t="shared" si="5"/>
        <v>-1.9848226308857804</v>
      </c>
      <c r="K22" s="94">
        <f t="shared" si="6"/>
        <v>3.9395208760763509</v>
      </c>
    </row>
    <row r="23" spans="2:11" x14ac:dyDescent="0.25">
      <c r="B23" s="26">
        <v>8</v>
      </c>
      <c r="C23" s="27">
        <v>8.1999999999999993</v>
      </c>
      <c r="D23" s="27">
        <v>15</v>
      </c>
      <c r="E23" s="184">
        <f t="shared" si="0"/>
        <v>15.413407821229049</v>
      </c>
      <c r="F23" s="183">
        <f t="shared" si="1"/>
        <v>-0.41340782122904862</v>
      </c>
      <c r="G23" s="183">
        <f t="shared" si="2"/>
        <v>0.17090602665334903</v>
      </c>
      <c r="H23" s="94">
        <f t="shared" si="3"/>
        <v>2.1041341542702074</v>
      </c>
      <c r="I23" s="94">
        <f t="shared" si="4"/>
        <v>15.571264976657439</v>
      </c>
      <c r="J23" s="94">
        <f t="shared" si="5"/>
        <v>-0.57126497665743869</v>
      </c>
      <c r="K23" s="94">
        <f t="shared" si="6"/>
        <v>0.32634367355542399</v>
      </c>
    </row>
    <row r="24" spans="2:11" x14ac:dyDescent="0.25">
      <c r="B24" s="26">
        <v>9</v>
      </c>
      <c r="C24" s="27">
        <v>9.3000000000000007</v>
      </c>
      <c r="D24" s="27">
        <v>20</v>
      </c>
      <c r="E24" s="184">
        <f t="shared" si="0"/>
        <v>19.208100558659218</v>
      </c>
      <c r="F24" s="183">
        <f t="shared" si="1"/>
        <v>0.79189944134078161</v>
      </c>
      <c r="G24" s="183">
        <f t="shared" si="2"/>
        <v>0.62710472519584204</v>
      </c>
      <c r="H24" s="94">
        <f t="shared" si="3"/>
        <v>2.2300144001592104</v>
      </c>
      <c r="I24" s="94">
        <f t="shared" si="4"/>
        <v>17.809292716877955</v>
      </c>
      <c r="J24" s="94">
        <f t="shared" si="5"/>
        <v>2.1907072831220447</v>
      </c>
      <c r="K24" s="94">
        <f t="shared" si="6"/>
        <v>4.79919840032397</v>
      </c>
    </row>
    <row r="25" spans="2:11" ht="16.5" thickBot="1" x14ac:dyDescent="0.3">
      <c r="B25" s="190">
        <v>10</v>
      </c>
      <c r="C25" s="28">
        <v>10.9</v>
      </c>
      <c r="D25" s="28">
        <v>25</v>
      </c>
      <c r="E25" s="185">
        <f t="shared" si="0"/>
        <v>24.727653631284916</v>
      </c>
      <c r="F25" s="186">
        <f t="shared" si="1"/>
        <v>0.272346368715084</v>
      </c>
      <c r="G25" s="186">
        <f t="shared" si="2"/>
        <v>7.4172544552292483E-2</v>
      </c>
      <c r="H25" s="95">
        <f t="shared" si="3"/>
        <v>2.388762789235098</v>
      </c>
      <c r="I25" s="95">
        <f t="shared" si="4"/>
        <v>20.631683918595456</v>
      </c>
      <c r="J25" s="95">
        <f t="shared" si="5"/>
        <v>4.3683160814045436</v>
      </c>
      <c r="K25" s="95">
        <f t="shared" si="6"/>
        <v>19.082185387057546</v>
      </c>
    </row>
    <row r="26" spans="2:11" ht="16.5" thickBot="1" x14ac:dyDescent="0.3">
      <c r="B26" s="21"/>
      <c r="C26" s="21"/>
      <c r="D26" s="21"/>
      <c r="E26" s="187"/>
      <c r="F26" s="188">
        <f>SUM(F16:F25)</f>
        <v>-2.2204460492503131E-14</v>
      </c>
      <c r="G26" s="189">
        <f>SUM(G16:G25)</f>
        <v>5.6941340782122865</v>
      </c>
      <c r="K26" s="96">
        <f>SUM(K16:K25)</f>
        <v>61.027109300647737</v>
      </c>
    </row>
    <row r="28" spans="2:11" ht="16.5" thickBot="1" x14ac:dyDescent="0.3">
      <c r="I28" s="20" t="s">
        <v>41</v>
      </c>
    </row>
    <row r="29" spans="2:11" x14ac:dyDescent="0.25">
      <c r="H29" s="21"/>
      <c r="I29" s="96" t="s">
        <v>21</v>
      </c>
      <c r="J29" s="97">
        <f>INTERCEPT(D16:D25,C16:C25)</f>
        <v>-12.874301675977646</v>
      </c>
      <c r="K29" s="98"/>
    </row>
    <row r="30" spans="2:11" x14ac:dyDescent="0.25">
      <c r="H30" s="21"/>
      <c r="I30" s="99" t="s">
        <v>22</v>
      </c>
      <c r="J30" s="100">
        <f>SLOPE(D16:D25,C16:C25)</f>
        <v>3.4497206703910606</v>
      </c>
      <c r="K30" s="101"/>
    </row>
    <row r="31" spans="2:11" x14ac:dyDescent="0.25">
      <c r="I31" s="102" t="s">
        <v>23</v>
      </c>
      <c r="J31" s="103" t="s">
        <v>24</v>
      </c>
      <c r="K31" s="96"/>
    </row>
    <row r="33" spans="8:11" x14ac:dyDescent="0.25">
      <c r="I33" s="20" t="s">
        <v>42</v>
      </c>
    </row>
    <row r="34" spans="8:11" x14ac:dyDescent="0.25">
      <c r="I34" s="102"/>
      <c r="J34" s="104" t="s">
        <v>6</v>
      </c>
      <c r="K34" s="97">
        <f>G26/B25</f>
        <v>0.56941340782122862</v>
      </c>
    </row>
    <row r="35" spans="8:11" ht="16.5" thickBot="1" x14ac:dyDescent="0.3">
      <c r="I35" s="105"/>
      <c r="J35" s="106" t="s">
        <v>118</v>
      </c>
      <c r="K35" s="107">
        <f>RSQ(D16:D25,C16:C25)</f>
        <v>0.99373513689271376</v>
      </c>
    </row>
    <row r="38" spans="8:11" ht="16.5" thickBot="1" x14ac:dyDescent="0.3">
      <c r="H38" s="18" t="s">
        <v>105</v>
      </c>
      <c r="I38" s="20" t="s">
        <v>43</v>
      </c>
    </row>
    <row r="39" spans="8:11" x14ac:dyDescent="0.25">
      <c r="H39" s="18"/>
      <c r="I39" s="96" t="s">
        <v>45</v>
      </c>
      <c r="J39" s="97">
        <f>INTERCEPT(D16:D25,H16:H25)</f>
        <v>-21.83818376682936</v>
      </c>
      <c r="K39" s="98"/>
    </row>
    <row r="40" spans="8:11" x14ac:dyDescent="0.25">
      <c r="H40" s="18"/>
      <c r="I40" s="99" t="s">
        <v>44</v>
      </c>
      <c r="J40" s="100">
        <f>SLOPE(D16:D25,H16:H25)</f>
        <v>17.779022629125944</v>
      </c>
      <c r="K40" s="101"/>
    </row>
    <row r="41" spans="8:11" x14ac:dyDescent="0.25">
      <c r="H41" s="18"/>
      <c r="I41" s="102" t="s">
        <v>46</v>
      </c>
      <c r="J41" s="103" t="s">
        <v>47</v>
      </c>
      <c r="K41" s="96"/>
    </row>
    <row r="42" spans="8:11" x14ac:dyDescent="0.25">
      <c r="H42" s="18"/>
    </row>
    <row r="43" spans="8:11" x14ac:dyDescent="0.25">
      <c r="H43" s="18"/>
    </row>
    <row r="44" spans="8:11" ht="16.5" thickBot="1" x14ac:dyDescent="0.3">
      <c r="H44" s="18" t="s">
        <v>106</v>
      </c>
      <c r="I44" s="20" t="s">
        <v>48</v>
      </c>
    </row>
    <row r="45" spans="8:11" x14ac:dyDescent="0.25">
      <c r="H45" s="18"/>
      <c r="I45" s="110" t="s">
        <v>6</v>
      </c>
      <c r="J45" s="111">
        <f>K26/B25</f>
        <v>6.1027109300647737</v>
      </c>
    </row>
    <row r="46" spans="8:11" x14ac:dyDescent="0.25">
      <c r="H46" s="18"/>
      <c r="I46" s="104" t="s">
        <v>116</v>
      </c>
      <c r="J46" s="112">
        <f>1-J45/VARP(D16:D25)</f>
        <v>0.93285607954599215</v>
      </c>
    </row>
    <row r="47" spans="8:11" x14ac:dyDescent="0.25">
      <c r="H47" s="18"/>
    </row>
    <row r="48" spans="8:11" ht="16.5" thickBot="1" x14ac:dyDescent="0.3">
      <c r="H48" s="18"/>
    </row>
    <row r="49" spans="8:12" x14ac:dyDescent="0.25">
      <c r="H49" s="18" t="s">
        <v>107</v>
      </c>
      <c r="I49" s="108" t="s">
        <v>55</v>
      </c>
      <c r="J49" s="113"/>
      <c r="K49" s="113"/>
      <c r="L49" s="98"/>
    </row>
    <row r="50" spans="8:12" ht="19.5" thickBot="1" x14ac:dyDescent="0.3">
      <c r="I50" s="114" t="s">
        <v>119</v>
      </c>
      <c r="J50" s="115"/>
      <c r="K50" s="115"/>
      <c r="L50" s="109"/>
    </row>
  </sheetData>
  <pageMargins left="0.75" right="0.75" top="1" bottom="1" header="0" footer="0"/>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election activeCell="Q19" sqref="Q19"/>
    </sheetView>
  </sheetViews>
  <sheetFormatPr baseColWidth="10" defaultColWidth="11.42578125" defaultRowHeight="12.75" x14ac:dyDescent="0.2"/>
  <cols>
    <col min="1" max="1" width="11.42578125" style="21" customWidth="1"/>
    <col min="2" max="5" width="11.42578125" style="21"/>
    <col min="6" max="6" width="12.140625" style="21" customWidth="1"/>
    <col min="7" max="7" width="14.140625" style="21" customWidth="1"/>
    <col min="8" max="16384" width="11.42578125" style="21"/>
  </cols>
  <sheetData>
    <row r="1" spans="1:12" ht="15" customHeight="1" x14ac:dyDescent="0.2"/>
    <row r="2" spans="1:12" ht="15" customHeight="1" x14ac:dyDescent="0.2"/>
    <row r="3" spans="1:12" ht="15" customHeight="1" x14ac:dyDescent="0.2"/>
    <row r="4" spans="1:12" ht="15" customHeight="1" x14ac:dyDescent="0.2"/>
    <row r="5" spans="1:12" ht="15" customHeight="1" x14ac:dyDescent="0.2"/>
    <row r="6" spans="1:12" ht="15" customHeight="1" x14ac:dyDescent="0.2"/>
    <row r="7" spans="1:12" ht="15" customHeight="1" x14ac:dyDescent="0.2"/>
    <row r="8" spans="1:12" ht="15" customHeight="1" x14ac:dyDescent="0.2"/>
    <row r="9" spans="1:12" s="22" customFormat="1" ht="15" customHeight="1" x14ac:dyDescent="0.25">
      <c r="A9" s="18" t="s">
        <v>2</v>
      </c>
      <c r="B9" s="19" t="s">
        <v>25</v>
      </c>
    </row>
    <row r="10" spans="1:12" s="22" customFormat="1" ht="15" customHeight="1" x14ac:dyDescent="0.25">
      <c r="A10" s="18" t="s">
        <v>3</v>
      </c>
      <c r="B10" s="19" t="s">
        <v>26</v>
      </c>
    </row>
    <row r="11" spans="1:12" ht="15" customHeight="1" x14ac:dyDescent="0.2"/>
    <row r="13" spans="1:12" ht="15.75" x14ac:dyDescent="0.2">
      <c r="B13" s="29" t="s">
        <v>2</v>
      </c>
      <c r="C13" s="29" t="s">
        <v>3</v>
      </c>
      <c r="F13" s="103" t="s">
        <v>69</v>
      </c>
      <c r="G13" s="102"/>
      <c r="H13" s="120"/>
      <c r="J13" s="124" t="s">
        <v>56</v>
      </c>
      <c r="K13" s="125"/>
      <c r="L13" s="126"/>
    </row>
    <row r="14" spans="1:12" ht="15.75" x14ac:dyDescent="0.2">
      <c r="B14" s="30">
        <v>1.9</v>
      </c>
      <c r="C14" s="30">
        <v>5.5</v>
      </c>
      <c r="F14" s="116" t="s">
        <v>12</v>
      </c>
      <c r="G14" s="117">
        <f>INTERCEPT(C14:C20,B14:B20)</f>
        <v>4.1983870967741961</v>
      </c>
      <c r="H14" s="120"/>
      <c r="J14" s="127" t="s">
        <v>57</v>
      </c>
      <c r="K14" s="123"/>
      <c r="L14" s="128"/>
    </row>
    <row r="15" spans="1:12" ht="15.75" x14ac:dyDescent="0.2">
      <c r="B15" s="30">
        <v>2.2000000000000002</v>
      </c>
      <c r="C15" s="30">
        <v>7.4</v>
      </c>
      <c r="F15" s="118" t="s">
        <v>13</v>
      </c>
      <c r="G15" s="119">
        <f>SLOPE(C14:C20,B14:B20)</f>
        <v>1.629032258064516</v>
      </c>
      <c r="H15" s="120"/>
      <c r="J15" s="132" t="s">
        <v>58</v>
      </c>
      <c r="K15" s="133"/>
      <c r="L15" s="134"/>
    </row>
    <row r="16" spans="1:12" ht="15.75" x14ac:dyDescent="0.2">
      <c r="B16" s="30">
        <v>2.9</v>
      </c>
      <c r="C16" s="30">
        <v>9.8000000000000007</v>
      </c>
      <c r="F16" s="116" t="s">
        <v>23</v>
      </c>
      <c r="G16" s="102" t="s">
        <v>27</v>
      </c>
      <c r="H16" s="102"/>
    </row>
    <row r="17" spans="2:12" ht="15.75" x14ac:dyDescent="0.2">
      <c r="B17" s="30">
        <v>3.6</v>
      </c>
      <c r="C17" s="30">
        <v>11.6</v>
      </c>
    </row>
    <row r="18" spans="2:12" ht="15.75" x14ac:dyDescent="0.2">
      <c r="B18" s="30">
        <v>3.8</v>
      </c>
      <c r="C18" s="30">
        <v>11.6</v>
      </c>
    </row>
    <row r="19" spans="2:12" ht="15.75" x14ac:dyDescent="0.2">
      <c r="B19" s="30">
        <v>4.5999999999999996</v>
      </c>
      <c r="C19" s="30">
        <v>12.2</v>
      </c>
      <c r="F19" s="170" t="s">
        <v>42</v>
      </c>
      <c r="G19" s="171"/>
      <c r="J19" s="124" t="s">
        <v>59</v>
      </c>
      <c r="K19" s="125"/>
      <c r="L19" s="126"/>
    </row>
    <row r="20" spans="2:12" ht="15.75" x14ac:dyDescent="0.2">
      <c r="B20" s="30">
        <v>5.5</v>
      </c>
      <c r="C20" s="30">
        <v>11.2</v>
      </c>
      <c r="F20" s="121" t="s">
        <v>121</v>
      </c>
      <c r="G20" s="122">
        <f>RSQ(C14:C20,B14:B20)</f>
        <v>0.68590831918505957</v>
      </c>
      <c r="J20" s="135" t="s">
        <v>120</v>
      </c>
      <c r="K20" s="123"/>
      <c r="L20" s="136">
        <v>0.99590000000000001</v>
      </c>
    </row>
    <row r="21" spans="2:12" x14ac:dyDescent="0.2">
      <c r="J21" s="129" t="s">
        <v>60</v>
      </c>
      <c r="K21" s="130"/>
      <c r="L21" s="131"/>
    </row>
  </sheetData>
  <mergeCells count="1">
    <mergeCell ref="F19:G19"/>
  </mergeCells>
  <pageMargins left="0.75" right="0.75" top="1" bottom="1" header="0" footer="0"/>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zoomScaleNormal="100" workbookViewId="0">
      <selection activeCell="O25" sqref="O25"/>
    </sheetView>
  </sheetViews>
  <sheetFormatPr baseColWidth="10" defaultColWidth="11.42578125" defaultRowHeight="12.75" x14ac:dyDescent="0.2"/>
  <cols>
    <col min="1" max="1" width="11.42578125" style="33"/>
    <col min="2" max="2" width="7.28515625" style="33" bestFit="1" customWidth="1"/>
    <col min="3" max="3" width="8.5703125" style="33" customWidth="1"/>
    <col min="4" max="4" width="16" style="33" customWidth="1"/>
    <col min="5" max="5" width="11.42578125" style="33"/>
    <col min="6" max="6" width="14.5703125" style="33" bestFit="1" customWidth="1"/>
    <col min="7" max="7" width="16.42578125" style="33" bestFit="1" customWidth="1"/>
    <col min="8" max="9" width="6.140625" style="33" customWidth="1"/>
    <col min="10" max="10" width="19.85546875" style="33" bestFit="1" customWidth="1"/>
    <col min="11" max="11" width="11.42578125" style="33"/>
    <col min="12" max="12" width="20.140625" style="33" bestFit="1" customWidth="1"/>
    <col min="13" max="16384" width="11.42578125" style="33"/>
  </cols>
  <sheetData>
    <row r="1" spans="1:11" ht="15" customHeight="1" x14ac:dyDescent="0.2"/>
    <row r="2" spans="1:11" ht="15" customHeight="1" x14ac:dyDescent="0.2"/>
    <row r="3" spans="1:11" ht="15" customHeight="1" x14ac:dyDescent="0.2"/>
    <row r="4" spans="1:11" ht="15" customHeight="1" x14ac:dyDescent="0.2"/>
    <row r="5" spans="1:11" ht="15" customHeight="1" x14ac:dyDescent="0.2"/>
    <row r="6" spans="1:11" ht="15" customHeight="1" x14ac:dyDescent="0.2"/>
    <row r="7" spans="1:11" ht="15" customHeight="1" x14ac:dyDescent="0.2"/>
    <row r="8" spans="1:11" ht="15" customHeight="1" x14ac:dyDescent="0.2"/>
    <row r="9" spans="1:11" ht="15" customHeight="1" x14ac:dyDescent="0.2"/>
    <row r="10" spans="1:11" ht="15" customHeight="1" x14ac:dyDescent="0.2"/>
    <row r="11" spans="1:11" ht="15" customHeight="1" x14ac:dyDescent="0.2"/>
    <row r="12" spans="1:11" ht="15" customHeight="1" x14ac:dyDescent="0.2"/>
    <row r="13" spans="1:11" ht="15" customHeight="1" x14ac:dyDescent="0.25">
      <c r="A13" s="56" t="s">
        <v>61</v>
      </c>
      <c r="B13" s="57" t="s">
        <v>122</v>
      </c>
    </row>
    <row r="14" spans="1:11" ht="15" customHeight="1" thickBot="1" x14ac:dyDescent="0.3">
      <c r="A14" s="39" t="s">
        <v>3</v>
      </c>
      <c r="B14" s="57" t="s">
        <v>123</v>
      </c>
    </row>
    <row r="15" spans="1:11" ht="16.5" thickBot="1" x14ac:dyDescent="0.3">
      <c r="A15" s="55"/>
      <c r="B15" s="53"/>
      <c r="J15" s="36" t="s">
        <v>93</v>
      </c>
      <c r="K15" s="169">
        <f>COUNT(B17:B66)</f>
        <v>50</v>
      </c>
    </row>
    <row r="16" spans="1:11" ht="16.5" thickBot="1" x14ac:dyDescent="0.3">
      <c r="B16" s="31" t="s">
        <v>2</v>
      </c>
      <c r="C16" s="31" t="s">
        <v>3</v>
      </c>
      <c r="D16" s="32" t="s">
        <v>101</v>
      </c>
      <c r="E16" s="32" t="s">
        <v>102</v>
      </c>
      <c r="F16" s="32" t="s">
        <v>28</v>
      </c>
      <c r="G16" s="32" t="s">
        <v>29</v>
      </c>
    </row>
    <row r="17" spans="2:15" ht="16.5" thickBot="1" x14ac:dyDescent="0.3">
      <c r="B17" s="51">
        <v>175</v>
      </c>
      <c r="C17" s="52">
        <v>1.2419300564485001</v>
      </c>
      <c r="D17" s="34">
        <f>LN(B17)</f>
        <v>5.1647859739235145</v>
      </c>
      <c r="E17" s="34">
        <f>LN(C17)</f>
        <v>0.21666666666666667</v>
      </c>
      <c r="F17" s="35">
        <f t="shared" ref="F17:F48" si="0">$K$32*B17^$K$33</f>
        <v>1.1154370647951413</v>
      </c>
      <c r="G17" s="35">
        <f>C17-F17</f>
        <v>0.12649299165335881</v>
      </c>
      <c r="J17" s="36" t="s">
        <v>30</v>
      </c>
      <c r="K17" s="37">
        <f>_xlfn.VAR.P(C17:C66)</f>
        <v>14.748016700979552</v>
      </c>
      <c r="L17" s="33" t="s">
        <v>103</v>
      </c>
    </row>
    <row r="18" spans="2:15" ht="15.75" x14ac:dyDescent="0.25">
      <c r="B18" s="51">
        <v>50</v>
      </c>
      <c r="C18" s="52">
        <v>2.4596031111569499</v>
      </c>
      <c r="D18" s="34">
        <f t="shared" ref="D18:E66" si="1">LN(B18)</f>
        <v>3.912023005428146</v>
      </c>
      <c r="E18" s="34">
        <f t="shared" si="1"/>
        <v>0.9</v>
      </c>
      <c r="F18" s="35">
        <f t="shared" si="0"/>
        <v>2.6607463466366785</v>
      </c>
      <c r="G18" s="35">
        <f t="shared" ref="G18:G66" si="2">C18-F18</f>
        <v>-0.20114323547972868</v>
      </c>
      <c r="O18" s="38"/>
    </row>
    <row r="19" spans="2:15" ht="15.75" x14ac:dyDescent="0.25">
      <c r="B19" s="51">
        <v>168</v>
      </c>
      <c r="C19" s="52">
        <v>1.2754937178381829</v>
      </c>
      <c r="D19" s="34">
        <f t="shared" si="1"/>
        <v>5.1239639794032588</v>
      </c>
      <c r="E19" s="34">
        <f t="shared" si="1"/>
        <v>0.24333333333333326</v>
      </c>
      <c r="F19" s="35">
        <f t="shared" si="0"/>
        <v>1.1474876684082234</v>
      </c>
      <c r="G19" s="35">
        <f t="shared" si="2"/>
        <v>0.12800604942995952</v>
      </c>
    </row>
    <row r="20" spans="2:15" ht="16.5" thickBot="1" x14ac:dyDescent="0.3">
      <c r="B20" s="51">
        <v>183</v>
      </c>
      <c r="C20" s="52">
        <v>1.2502372500360879</v>
      </c>
      <c r="D20" s="34">
        <f t="shared" si="1"/>
        <v>5.2094861528414214</v>
      </c>
      <c r="E20" s="34">
        <f t="shared" si="1"/>
        <v>0.22333333333333338</v>
      </c>
      <c r="F20" s="35">
        <f t="shared" si="0"/>
        <v>1.0813674844227243</v>
      </c>
      <c r="G20" s="35">
        <f t="shared" si="2"/>
        <v>0.16886976561336353</v>
      </c>
    </row>
    <row r="21" spans="2:15" ht="16.5" thickBot="1" x14ac:dyDescent="0.3">
      <c r="B21" s="51">
        <v>30</v>
      </c>
      <c r="C21" s="52">
        <v>3.2112705431535611</v>
      </c>
      <c r="D21" s="34">
        <f t="shared" si="1"/>
        <v>3.4011973816621555</v>
      </c>
      <c r="E21" s="34">
        <f t="shared" si="1"/>
        <v>1.1666666666666667</v>
      </c>
      <c r="F21" s="35">
        <f t="shared" si="0"/>
        <v>3.7927689440830847</v>
      </c>
      <c r="G21" s="35">
        <f t="shared" si="2"/>
        <v>-0.58149840092952365</v>
      </c>
      <c r="I21" s="191" t="s">
        <v>105</v>
      </c>
      <c r="J21" s="36" t="s">
        <v>31</v>
      </c>
      <c r="K21" s="39"/>
    </row>
    <row r="22" spans="2:15" ht="16.5" thickBot="1" x14ac:dyDescent="0.3">
      <c r="B22" s="51">
        <v>78</v>
      </c>
      <c r="C22" s="52">
        <v>2.3009758908928251</v>
      </c>
      <c r="D22" s="34">
        <f t="shared" si="1"/>
        <v>4.3567088266895917</v>
      </c>
      <c r="E22" s="34">
        <f t="shared" si="1"/>
        <v>0.83333333333333337</v>
      </c>
      <c r="F22" s="35">
        <f t="shared" si="0"/>
        <v>1.9542666168715561</v>
      </c>
      <c r="G22" s="35">
        <f t="shared" si="2"/>
        <v>0.34670927402126894</v>
      </c>
      <c r="J22" s="40" t="s">
        <v>33</v>
      </c>
      <c r="K22" s="41"/>
    </row>
    <row r="23" spans="2:15" ht="15.75" x14ac:dyDescent="0.25">
      <c r="B23" s="51">
        <v>69</v>
      </c>
      <c r="C23" s="52">
        <v>1.967309093602797</v>
      </c>
      <c r="D23" s="34">
        <f t="shared" si="1"/>
        <v>4.2341065045972597</v>
      </c>
      <c r="E23" s="34">
        <f t="shared" si="1"/>
        <v>0.67666666666666664</v>
      </c>
      <c r="F23" s="35">
        <f t="shared" si="0"/>
        <v>2.1278145275320113</v>
      </c>
      <c r="G23" s="35">
        <f t="shared" si="2"/>
        <v>-0.16050543392921424</v>
      </c>
      <c r="J23" s="42" t="s">
        <v>21</v>
      </c>
      <c r="K23" s="37">
        <f>INTERCEPT(C17:C66,B17:B66)</f>
        <v>7.2606180926176069</v>
      </c>
      <c r="L23" s="33" t="s">
        <v>67</v>
      </c>
    </row>
    <row r="24" spans="2:15" ht="15.75" x14ac:dyDescent="0.25">
      <c r="B24" s="51">
        <v>179</v>
      </c>
      <c r="C24" s="52">
        <v>1.2712491503214047</v>
      </c>
      <c r="D24" s="34">
        <f t="shared" si="1"/>
        <v>5.1873858058407549</v>
      </c>
      <c r="E24" s="34">
        <f t="shared" si="1"/>
        <v>0.24000000000000002</v>
      </c>
      <c r="F24" s="35">
        <f t="shared" si="0"/>
        <v>1.0980798483777596</v>
      </c>
      <c r="G24" s="35">
        <f t="shared" si="2"/>
        <v>0.1731693019436451</v>
      </c>
      <c r="J24" s="44" t="s">
        <v>22</v>
      </c>
      <c r="K24" s="45">
        <f>SLOPE(C17:C66,B17:B66)</f>
        <v>-4.0304534008202893E-2</v>
      </c>
      <c r="L24" s="33" t="s">
        <v>65</v>
      </c>
    </row>
    <row r="25" spans="2:15" ht="18.75" x14ac:dyDescent="0.25">
      <c r="B25" s="51">
        <v>65</v>
      </c>
      <c r="C25" s="52">
        <v>1.8838797239649627</v>
      </c>
      <c r="D25" s="34">
        <f t="shared" si="1"/>
        <v>4.1743872698956368</v>
      </c>
      <c r="E25" s="34">
        <f t="shared" si="1"/>
        <v>0.6333333333333333</v>
      </c>
      <c r="F25" s="35">
        <f t="shared" si="0"/>
        <v>2.2178490595732496</v>
      </c>
      <c r="G25" s="35">
        <f t="shared" si="2"/>
        <v>-0.3339693356082869</v>
      </c>
      <c r="J25" s="44" t="s">
        <v>124</v>
      </c>
      <c r="K25" s="47">
        <f>RSQ(C17:C66,B17:B66)</f>
        <v>0.48757559108693638</v>
      </c>
    </row>
    <row r="26" spans="2:15" ht="15.75" x14ac:dyDescent="0.25">
      <c r="B26" s="51">
        <v>7</v>
      </c>
      <c r="C26" s="52">
        <v>12.182493960703473</v>
      </c>
      <c r="D26" s="34">
        <f t="shared" si="1"/>
        <v>1.9459101490553132</v>
      </c>
      <c r="E26" s="34">
        <f t="shared" si="1"/>
        <v>2.5</v>
      </c>
      <c r="F26" s="35">
        <f t="shared" si="0"/>
        <v>10.412419696162315</v>
      </c>
      <c r="G26" s="35">
        <f t="shared" si="2"/>
        <v>1.770074264541158</v>
      </c>
      <c r="J26" s="44" t="s">
        <v>6</v>
      </c>
      <c r="K26" s="45">
        <f>K17*(1-K25)</f>
        <v>7.5572437406394375</v>
      </c>
    </row>
    <row r="27" spans="2:15" ht="16.5" thickBot="1" x14ac:dyDescent="0.3">
      <c r="B27" s="51">
        <v>26</v>
      </c>
      <c r="C27" s="52">
        <v>3.7061737122101981</v>
      </c>
      <c r="D27" s="34">
        <f t="shared" si="1"/>
        <v>3.2580965380214821</v>
      </c>
      <c r="E27" s="34">
        <f t="shared" si="1"/>
        <v>1.3099999999999998</v>
      </c>
      <c r="F27" s="35">
        <f t="shared" si="0"/>
        <v>4.1887476616560955</v>
      </c>
      <c r="G27" s="35">
        <f t="shared" si="2"/>
        <v>-0.48257394944589738</v>
      </c>
      <c r="J27" s="48" t="s">
        <v>8</v>
      </c>
      <c r="K27" s="49">
        <f>K23+100*K24</f>
        <v>3.2301646917973175</v>
      </c>
    </row>
    <row r="28" spans="2:15" ht="15.75" x14ac:dyDescent="0.25">
      <c r="B28" s="51">
        <v>9</v>
      </c>
      <c r="C28" s="52">
        <v>13.022344200125602</v>
      </c>
      <c r="D28" s="34">
        <f t="shared" si="1"/>
        <v>2.1972245773362196</v>
      </c>
      <c r="E28" s="34">
        <f t="shared" si="1"/>
        <v>2.5666666666666669</v>
      </c>
      <c r="F28" s="35">
        <f t="shared" si="0"/>
        <v>8.7460183114421461</v>
      </c>
      <c r="G28" s="35">
        <f t="shared" si="2"/>
        <v>4.2763258886834556</v>
      </c>
    </row>
    <row r="29" spans="2:15" ht="16.5" thickBot="1" x14ac:dyDescent="0.3">
      <c r="B29" s="51">
        <v>199</v>
      </c>
      <c r="C29" s="52">
        <v>1.2544116610226577</v>
      </c>
      <c r="D29" s="34">
        <f t="shared" si="1"/>
        <v>5.2933048247244923</v>
      </c>
      <c r="E29" s="34">
        <f t="shared" si="1"/>
        <v>0.2266666666666666</v>
      </c>
      <c r="F29" s="35">
        <f t="shared" si="0"/>
        <v>1.0202626507739174</v>
      </c>
      <c r="G29" s="35">
        <f t="shared" si="2"/>
        <v>0.23414901024874024</v>
      </c>
    </row>
    <row r="30" spans="2:15" ht="19.5" thickBot="1" x14ac:dyDescent="0.3">
      <c r="B30" s="51">
        <v>66</v>
      </c>
      <c r="C30" s="52">
        <v>2.0612927475561325</v>
      </c>
      <c r="D30" s="34">
        <f t="shared" si="1"/>
        <v>4.1896547420264252</v>
      </c>
      <c r="E30" s="34">
        <f t="shared" si="1"/>
        <v>0.72333333333333327</v>
      </c>
      <c r="F30" s="35">
        <f t="shared" si="0"/>
        <v>2.1944751469932204</v>
      </c>
      <c r="G30" s="35">
        <f t="shared" si="2"/>
        <v>-0.13318239943708798</v>
      </c>
      <c r="I30" s="191" t="s">
        <v>106</v>
      </c>
      <c r="J30" s="36" t="s">
        <v>32</v>
      </c>
    </row>
    <row r="31" spans="2:15" ht="16.5" thickBot="1" x14ac:dyDescent="0.3">
      <c r="B31" s="51">
        <v>182</v>
      </c>
      <c r="C31" s="52">
        <v>1.2460767305873808</v>
      </c>
      <c r="D31" s="34">
        <f t="shared" si="1"/>
        <v>5.2040066870767951</v>
      </c>
      <c r="E31" s="34">
        <f t="shared" si="1"/>
        <v>0.21999999999999997</v>
      </c>
      <c r="F31" s="35">
        <f t="shared" si="0"/>
        <v>1.0854872111613485</v>
      </c>
      <c r="G31" s="35">
        <f t="shared" si="2"/>
        <v>0.16058951942603228</v>
      </c>
      <c r="J31" s="40" t="s">
        <v>34</v>
      </c>
      <c r="K31" s="41"/>
    </row>
    <row r="32" spans="2:15" ht="15.75" x14ac:dyDescent="0.25">
      <c r="B32" s="51">
        <v>7</v>
      </c>
      <c r="C32" s="52">
        <v>12.764484508307035</v>
      </c>
      <c r="D32" s="34">
        <f t="shared" si="1"/>
        <v>1.9459101490553132</v>
      </c>
      <c r="E32" s="34">
        <f t="shared" si="1"/>
        <v>2.5466666666666669</v>
      </c>
      <c r="F32" s="35">
        <f t="shared" si="0"/>
        <v>10.412419696162315</v>
      </c>
      <c r="G32" s="35">
        <f t="shared" si="2"/>
        <v>2.3520648121447199</v>
      </c>
      <c r="J32" s="54" t="s">
        <v>21</v>
      </c>
      <c r="K32" s="43">
        <f>EXP(INTERCEPT(E17:E66,D17:D66))</f>
        <v>40.180112861779968</v>
      </c>
      <c r="L32" s="33" t="s">
        <v>68</v>
      </c>
    </row>
    <row r="33" spans="2:15" ht="15.75" x14ac:dyDescent="0.25">
      <c r="B33" s="51">
        <v>130</v>
      </c>
      <c r="C33" s="52">
        <v>1.2586000099294778</v>
      </c>
      <c r="D33" s="34">
        <f t="shared" si="1"/>
        <v>4.8675344504555822</v>
      </c>
      <c r="E33" s="34">
        <f t="shared" si="1"/>
        <v>0.22999999999999998</v>
      </c>
      <c r="F33" s="35">
        <f t="shared" si="0"/>
        <v>1.3709793129652634</v>
      </c>
      <c r="G33" s="35">
        <f t="shared" si="2"/>
        <v>-0.11237930303578558</v>
      </c>
      <c r="J33" s="44" t="s">
        <v>22</v>
      </c>
      <c r="K33" s="46">
        <f>SLOPE(E17:E66,D17:D66)</f>
        <v>-0.69395438105553842</v>
      </c>
      <c r="L33" s="33" t="s">
        <v>66</v>
      </c>
    </row>
    <row r="34" spans="2:15" ht="15.75" x14ac:dyDescent="0.25">
      <c r="B34" s="51">
        <v>60</v>
      </c>
      <c r="C34" s="52">
        <v>1.8838797239649627</v>
      </c>
      <c r="D34" s="34">
        <f t="shared" si="1"/>
        <v>4.0943445622221004</v>
      </c>
      <c r="E34" s="34">
        <f t="shared" si="1"/>
        <v>0.6333333333333333</v>
      </c>
      <c r="F34" s="35">
        <f t="shared" si="0"/>
        <v>2.3445273422689752</v>
      </c>
      <c r="G34" s="35">
        <f t="shared" si="2"/>
        <v>-0.46064761830401246</v>
      </c>
      <c r="J34" s="44" t="s">
        <v>35</v>
      </c>
      <c r="K34" s="45">
        <f>SUMSQ(G17:G66)/K15</f>
        <v>1.4188719541764465</v>
      </c>
    </row>
    <row r="35" spans="2:15" ht="18.75" x14ac:dyDescent="0.25">
      <c r="B35" s="51">
        <v>158</v>
      </c>
      <c r="C35" s="52">
        <v>1.1932332824015675</v>
      </c>
      <c r="D35" s="34">
        <f t="shared" si="1"/>
        <v>5.0625950330269669</v>
      </c>
      <c r="E35" s="34">
        <f t="shared" si="1"/>
        <v>0.17666666666666664</v>
      </c>
      <c r="F35" s="35">
        <f t="shared" si="0"/>
        <v>1.1974115263465224</v>
      </c>
      <c r="G35" s="35">
        <f t="shared" si="2"/>
        <v>-4.178243944954918E-3</v>
      </c>
      <c r="J35" s="44" t="s">
        <v>125</v>
      </c>
      <c r="K35" s="47">
        <f>1-K34/K17</f>
        <v>0.90379235507088851</v>
      </c>
    </row>
    <row r="36" spans="2:15" ht="16.5" thickBot="1" x14ac:dyDescent="0.3">
      <c r="B36" s="51">
        <v>189</v>
      </c>
      <c r="C36" s="52">
        <v>1.2502372500360879</v>
      </c>
      <c r="D36" s="34">
        <f t="shared" si="1"/>
        <v>5.2417470150596426</v>
      </c>
      <c r="E36" s="34">
        <f t="shared" si="1"/>
        <v>0.22333333333333338</v>
      </c>
      <c r="F36" s="35">
        <f t="shared" si="0"/>
        <v>1.0574272791387047</v>
      </c>
      <c r="G36" s="35">
        <f t="shared" si="2"/>
        <v>0.19280997089738316</v>
      </c>
      <c r="J36" s="48" t="s">
        <v>8</v>
      </c>
      <c r="K36" s="49">
        <f>K32*100^K33</f>
        <v>1.6447594494950382</v>
      </c>
    </row>
    <row r="37" spans="2:15" ht="15.75" x14ac:dyDescent="0.25">
      <c r="B37" s="51">
        <v>159</v>
      </c>
      <c r="C37" s="52">
        <v>1.2712491503214047</v>
      </c>
      <c r="D37" s="34">
        <f t="shared" si="1"/>
        <v>5.0689042022202315</v>
      </c>
      <c r="E37" s="34">
        <f t="shared" si="1"/>
        <v>0.24000000000000002</v>
      </c>
      <c r="F37" s="35">
        <f t="shared" si="0"/>
        <v>1.1921803887121554</v>
      </c>
      <c r="G37" s="35">
        <f t="shared" si="2"/>
        <v>7.9068761609249361E-2</v>
      </c>
    </row>
    <row r="38" spans="2:15" ht="15.75" x14ac:dyDescent="0.25">
      <c r="B38" s="51">
        <v>80</v>
      </c>
      <c r="C38" s="52">
        <v>1.3143382845755833</v>
      </c>
      <c r="D38" s="34">
        <f t="shared" si="1"/>
        <v>4.3820266346738812</v>
      </c>
      <c r="E38" s="34">
        <f t="shared" si="1"/>
        <v>0.27333333333333332</v>
      </c>
      <c r="F38" s="35">
        <f t="shared" si="0"/>
        <v>1.9202311842472366</v>
      </c>
      <c r="G38" s="35">
        <f t="shared" si="2"/>
        <v>-0.60589289967165327</v>
      </c>
      <c r="J38" s="138" t="s">
        <v>62</v>
      </c>
      <c r="K38" s="139"/>
      <c r="L38" s="139"/>
      <c r="M38" s="139"/>
      <c r="N38" s="139"/>
      <c r="O38" s="140"/>
    </row>
    <row r="39" spans="2:15" ht="15" customHeight="1" x14ac:dyDescent="0.25">
      <c r="B39" s="51">
        <v>13</v>
      </c>
      <c r="C39" s="52">
        <v>6.6858944422792685</v>
      </c>
      <c r="D39" s="34">
        <f t="shared" si="1"/>
        <v>2.5649493574615367</v>
      </c>
      <c r="E39" s="34">
        <f t="shared" si="1"/>
        <v>1.9</v>
      </c>
      <c r="F39" s="35">
        <f t="shared" si="0"/>
        <v>6.7761854422882886</v>
      </c>
      <c r="G39" s="35">
        <f t="shared" si="2"/>
        <v>-9.0291000009020017E-2</v>
      </c>
      <c r="J39" s="141" t="s">
        <v>63</v>
      </c>
      <c r="K39" s="137"/>
      <c r="L39" s="137"/>
      <c r="M39" s="137"/>
      <c r="N39" s="137"/>
      <c r="O39" s="142"/>
    </row>
    <row r="40" spans="2:15" ht="15.75" x14ac:dyDescent="0.25">
      <c r="B40" s="51">
        <v>146</v>
      </c>
      <c r="C40" s="52">
        <v>1.2132871551734909</v>
      </c>
      <c r="D40" s="34">
        <f t="shared" si="1"/>
        <v>4.9836066217083363</v>
      </c>
      <c r="E40" s="34">
        <f t="shared" si="1"/>
        <v>0.19333333333333338</v>
      </c>
      <c r="F40" s="35">
        <f t="shared" si="0"/>
        <v>1.2648790686383724</v>
      </c>
      <c r="G40" s="35">
        <f t="shared" si="2"/>
        <v>-5.1591913464881456E-2</v>
      </c>
      <c r="J40" s="143" t="s">
        <v>64</v>
      </c>
      <c r="K40" s="144"/>
      <c r="L40" s="144"/>
      <c r="M40" s="144"/>
      <c r="N40" s="144"/>
      <c r="O40" s="145"/>
    </row>
    <row r="41" spans="2:15" ht="15.75" x14ac:dyDescent="0.25">
      <c r="B41" s="51">
        <v>6</v>
      </c>
      <c r="C41" s="52">
        <v>9.6471898594419354</v>
      </c>
      <c r="D41" s="34">
        <f t="shared" si="1"/>
        <v>1.791759469228055</v>
      </c>
      <c r="E41" s="34">
        <f t="shared" si="1"/>
        <v>2.2666666666666666</v>
      </c>
      <c r="F41" s="35">
        <f t="shared" si="0"/>
        <v>11.588031923959756</v>
      </c>
      <c r="G41" s="35">
        <f t="shared" si="2"/>
        <v>-1.9408420645178204</v>
      </c>
    </row>
    <row r="42" spans="2:15" ht="15.75" x14ac:dyDescent="0.25">
      <c r="B42" s="51">
        <v>15</v>
      </c>
      <c r="C42" s="52">
        <v>7.3890560989306504</v>
      </c>
      <c r="D42" s="34">
        <f t="shared" si="1"/>
        <v>2.7080502011022101</v>
      </c>
      <c r="E42" s="34">
        <f t="shared" si="1"/>
        <v>2</v>
      </c>
      <c r="F42" s="35">
        <f t="shared" si="0"/>
        <v>6.1356061001530406</v>
      </c>
      <c r="G42" s="35">
        <f t="shared" si="2"/>
        <v>1.2534499987776098</v>
      </c>
    </row>
    <row r="43" spans="2:15" ht="15.75" x14ac:dyDescent="0.25">
      <c r="B43" s="51">
        <v>121</v>
      </c>
      <c r="C43" s="52">
        <v>1.2797524575205039</v>
      </c>
      <c r="D43" s="34">
        <f t="shared" si="1"/>
        <v>4.7957905455967413</v>
      </c>
      <c r="E43" s="34">
        <f t="shared" si="1"/>
        <v>0.24666666666666659</v>
      </c>
      <c r="F43" s="35">
        <f t="shared" si="0"/>
        <v>1.4409639632428917</v>
      </c>
      <c r="G43" s="35">
        <f t="shared" si="2"/>
        <v>-0.16121150572238774</v>
      </c>
    </row>
    <row r="44" spans="2:15" ht="15.75" x14ac:dyDescent="0.25">
      <c r="B44" s="51">
        <v>172</v>
      </c>
      <c r="C44" s="52">
        <v>1.1426308117957227</v>
      </c>
      <c r="D44" s="34">
        <f t="shared" si="1"/>
        <v>5.1474944768134527</v>
      </c>
      <c r="E44" s="34">
        <f t="shared" si="1"/>
        <v>0.13333333333333339</v>
      </c>
      <c r="F44" s="35">
        <f t="shared" si="0"/>
        <v>1.1289023902880064</v>
      </c>
      <c r="G44" s="35">
        <f t="shared" si="2"/>
        <v>1.3728421507716249E-2</v>
      </c>
    </row>
    <row r="45" spans="2:15" ht="15.75" x14ac:dyDescent="0.25">
      <c r="B45" s="51">
        <v>130</v>
      </c>
      <c r="C45" s="52">
        <v>1.3319801460865273</v>
      </c>
      <c r="D45" s="34">
        <f t="shared" si="1"/>
        <v>4.8675344504555822</v>
      </c>
      <c r="E45" s="34">
        <f t="shared" si="1"/>
        <v>0.28666666666666668</v>
      </c>
      <c r="F45" s="35">
        <f t="shared" si="0"/>
        <v>1.3709793129652634</v>
      </c>
      <c r="G45" s="35">
        <f t="shared" si="2"/>
        <v>-3.8999166878736169E-2</v>
      </c>
    </row>
    <row r="46" spans="2:15" ht="15.75" x14ac:dyDescent="0.25">
      <c r="B46" s="51">
        <v>198</v>
      </c>
      <c r="C46" s="52">
        <v>1.1579679093880269</v>
      </c>
      <c r="D46" s="34">
        <f t="shared" si="1"/>
        <v>5.2882670306945352</v>
      </c>
      <c r="E46" s="34">
        <f t="shared" si="1"/>
        <v>0.14666666666666664</v>
      </c>
      <c r="F46" s="35">
        <f t="shared" si="0"/>
        <v>1.0238357303260379</v>
      </c>
      <c r="G46" s="35">
        <f t="shared" si="2"/>
        <v>0.13413217906198893</v>
      </c>
    </row>
    <row r="47" spans="2:15" ht="15.75" x14ac:dyDescent="0.25">
      <c r="B47" s="51">
        <v>68</v>
      </c>
      <c r="C47" s="52">
        <v>1.5168967963882134</v>
      </c>
      <c r="D47" s="34">
        <f t="shared" si="1"/>
        <v>4.219507705176107</v>
      </c>
      <c r="E47" s="34">
        <f t="shared" si="1"/>
        <v>0.41666666666666669</v>
      </c>
      <c r="F47" s="35">
        <f t="shared" si="0"/>
        <v>2.1494807694306126</v>
      </c>
      <c r="G47" s="35">
        <f t="shared" si="2"/>
        <v>-0.63258397304239922</v>
      </c>
    </row>
    <row r="48" spans="2:15" ht="15.75" x14ac:dyDescent="0.25">
      <c r="B48" s="51">
        <v>74</v>
      </c>
      <c r="C48" s="52">
        <v>2.0475965007884529</v>
      </c>
      <c r="D48" s="34">
        <f t="shared" si="1"/>
        <v>4.3040650932041702</v>
      </c>
      <c r="E48" s="34">
        <f t="shared" si="1"/>
        <v>0.71666666666666667</v>
      </c>
      <c r="F48" s="35">
        <f t="shared" si="0"/>
        <v>2.0269806889443958</v>
      </c>
      <c r="G48" s="35">
        <f t="shared" si="2"/>
        <v>2.0615811844057141E-2</v>
      </c>
    </row>
    <row r="49" spans="2:7" ht="15.75" x14ac:dyDescent="0.25">
      <c r="B49" s="51">
        <v>67</v>
      </c>
      <c r="C49" s="52">
        <v>1.7623826407286585</v>
      </c>
      <c r="D49" s="34">
        <f t="shared" si="1"/>
        <v>4.2046926193909657</v>
      </c>
      <c r="E49" s="34">
        <f t="shared" si="1"/>
        <v>0.56666666666666665</v>
      </c>
      <c r="F49" s="35">
        <f t="shared" ref="F49:F66" si="3">$K$32*B49^$K$33</f>
        <v>2.1716935567579854</v>
      </c>
      <c r="G49" s="35">
        <f t="shared" si="2"/>
        <v>-0.4093109160293269</v>
      </c>
    </row>
    <row r="50" spans="2:7" ht="15.75" x14ac:dyDescent="0.25">
      <c r="B50" s="51">
        <v>10</v>
      </c>
      <c r="C50" s="52">
        <v>5.2944900504700296</v>
      </c>
      <c r="D50" s="34">
        <f t="shared" si="1"/>
        <v>2.3025850929940459</v>
      </c>
      <c r="E50" s="34">
        <f t="shared" si="1"/>
        <v>1.6666666666666667</v>
      </c>
      <c r="F50" s="35">
        <f t="shared" si="3"/>
        <v>8.129367768233255</v>
      </c>
      <c r="G50" s="35">
        <f t="shared" si="2"/>
        <v>-2.8348777177632254</v>
      </c>
    </row>
    <row r="51" spans="2:7" ht="15.75" x14ac:dyDescent="0.25">
      <c r="B51" s="51">
        <v>36</v>
      </c>
      <c r="C51" s="52">
        <v>3.2112705431535611</v>
      </c>
      <c r="D51" s="34">
        <f t="shared" si="1"/>
        <v>3.5835189384561099</v>
      </c>
      <c r="E51" s="34">
        <f t="shared" si="1"/>
        <v>1.1666666666666667</v>
      </c>
      <c r="F51" s="35">
        <f t="shared" si="3"/>
        <v>3.3420136059010996</v>
      </c>
      <c r="G51" s="35">
        <f t="shared" si="2"/>
        <v>-0.13074306274753855</v>
      </c>
    </row>
    <row r="52" spans="2:7" ht="15.75" x14ac:dyDescent="0.25">
      <c r="B52" s="51">
        <v>177</v>
      </c>
      <c r="C52" s="52">
        <v>1.2336780599567432</v>
      </c>
      <c r="D52" s="34">
        <f t="shared" si="1"/>
        <v>5.1761497325738288</v>
      </c>
      <c r="E52" s="34">
        <f t="shared" si="1"/>
        <v>0.20999999999999994</v>
      </c>
      <c r="F52" s="35">
        <f t="shared" si="3"/>
        <v>1.1066753984205489</v>
      </c>
      <c r="G52" s="35">
        <f t="shared" si="2"/>
        <v>0.12700266153619433</v>
      </c>
    </row>
    <row r="53" spans="2:7" ht="15.75" x14ac:dyDescent="0.25">
      <c r="B53" s="51">
        <v>143</v>
      </c>
      <c r="C53" s="52">
        <v>1.3453667691074913</v>
      </c>
      <c r="D53" s="34">
        <f t="shared" si="1"/>
        <v>4.962844630259907</v>
      </c>
      <c r="E53" s="34">
        <f t="shared" si="1"/>
        <v>0.29666666666666663</v>
      </c>
      <c r="F53" s="35">
        <f t="shared" si="3"/>
        <v>1.2832352069873845</v>
      </c>
      <c r="G53" s="35">
        <f t="shared" si="2"/>
        <v>6.2131562120106842E-2</v>
      </c>
    </row>
    <row r="54" spans="2:7" ht="15.75" x14ac:dyDescent="0.25">
      <c r="B54" s="51">
        <v>172</v>
      </c>
      <c r="C54" s="52">
        <v>1.2336780599567432</v>
      </c>
      <c r="D54" s="34">
        <f t="shared" si="1"/>
        <v>5.1474944768134527</v>
      </c>
      <c r="E54" s="34">
        <f t="shared" si="1"/>
        <v>0.20999999999999994</v>
      </c>
      <c r="F54" s="35">
        <f t="shared" si="3"/>
        <v>1.1289023902880064</v>
      </c>
      <c r="G54" s="35">
        <f t="shared" si="2"/>
        <v>0.10477566966873675</v>
      </c>
    </row>
    <row r="55" spans="2:7" ht="15.75" x14ac:dyDescent="0.25">
      <c r="B55" s="51">
        <v>11</v>
      </c>
      <c r="C55" s="52">
        <v>6.0496474644129465</v>
      </c>
      <c r="D55" s="34">
        <f t="shared" si="1"/>
        <v>2.3978952727983707</v>
      </c>
      <c r="E55" s="34">
        <f t="shared" si="1"/>
        <v>1.8</v>
      </c>
      <c r="F55" s="35">
        <f t="shared" si="3"/>
        <v>7.6090797520368483</v>
      </c>
      <c r="G55" s="35">
        <f t="shared" si="2"/>
        <v>-1.5594322876239017</v>
      </c>
    </row>
    <row r="56" spans="2:7" ht="15.75" x14ac:dyDescent="0.25">
      <c r="B56" s="51">
        <v>90</v>
      </c>
      <c r="C56" s="52">
        <v>1.3588879299265091</v>
      </c>
      <c r="D56" s="34">
        <f t="shared" si="1"/>
        <v>4.499809670330265</v>
      </c>
      <c r="E56" s="34">
        <f t="shared" si="1"/>
        <v>0.3066666666666667</v>
      </c>
      <c r="F56" s="35">
        <f t="shared" si="3"/>
        <v>1.7695221416126694</v>
      </c>
      <c r="G56" s="35">
        <f t="shared" si="2"/>
        <v>-0.41063421168616032</v>
      </c>
    </row>
    <row r="57" spans="2:7" ht="15.75" x14ac:dyDescent="0.25">
      <c r="B57" s="51">
        <v>73</v>
      </c>
      <c r="C57" s="52">
        <v>1.3634251141321778</v>
      </c>
      <c r="D57" s="34">
        <f t="shared" si="1"/>
        <v>4.290459441148391</v>
      </c>
      <c r="E57" s="34">
        <f t="shared" si="1"/>
        <v>0.31</v>
      </c>
      <c r="F57" s="35">
        <f t="shared" si="3"/>
        <v>2.0462094696279194</v>
      </c>
      <c r="G57" s="35">
        <f t="shared" si="2"/>
        <v>-0.68278435549574157</v>
      </c>
    </row>
    <row r="58" spans="2:7" ht="15.75" x14ac:dyDescent="0.25">
      <c r="B58" s="51">
        <v>66</v>
      </c>
      <c r="C58" s="52">
        <v>2.4596031111569499</v>
      </c>
      <c r="D58" s="34">
        <f t="shared" si="1"/>
        <v>4.1896547420264252</v>
      </c>
      <c r="E58" s="34">
        <f t="shared" si="1"/>
        <v>0.9</v>
      </c>
      <c r="F58" s="35">
        <f t="shared" si="3"/>
        <v>2.1944751469932204</v>
      </c>
      <c r="G58" s="35">
        <f t="shared" si="2"/>
        <v>0.26512796416372941</v>
      </c>
    </row>
    <row r="59" spans="2:7" ht="15.75" x14ac:dyDescent="0.25">
      <c r="B59" s="51">
        <v>7</v>
      </c>
      <c r="C59" s="52">
        <v>12.595420976379947</v>
      </c>
      <c r="D59" s="34">
        <f t="shared" si="1"/>
        <v>1.9459101490553132</v>
      </c>
      <c r="E59" s="34">
        <f t="shared" si="1"/>
        <v>2.5333333333333332</v>
      </c>
      <c r="F59" s="35">
        <f t="shared" si="3"/>
        <v>10.412419696162315</v>
      </c>
      <c r="G59" s="35">
        <f t="shared" si="2"/>
        <v>2.1830012802176313</v>
      </c>
    </row>
    <row r="60" spans="2:7" ht="15.75" x14ac:dyDescent="0.25">
      <c r="B60" s="51">
        <v>149</v>
      </c>
      <c r="C60" s="52">
        <v>1.2092495976572515</v>
      </c>
      <c r="D60" s="34">
        <f t="shared" si="1"/>
        <v>5.0039463059454592</v>
      </c>
      <c r="E60" s="34">
        <f t="shared" si="1"/>
        <v>0.19000000000000003</v>
      </c>
      <c r="F60" s="35">
        <f t="shared" si="3"/>
        <v>1.2471509460298402</v>
      </c>
      <c r="G60" s="35">
        <f t="shared" si="2"/>
        <v>-3.7901348372588739E-2</v>
      </c>
    </row>
    <row r="61" spans="2:7" ht="15.75" x14ac:dyDescent="0.25">
      <c r="B61" s="51">
        <v>24</v>
      </c>
      <c r="C61" s="52">
        <v>4.1926514300411171</v>
      </c>
      <c r="D61" s="34">
        <f t="shared" si="1"/>
        <v>3.1780538303479458</v>
      </c>
      <c r="E61" s="34">
        <f t="shared" si="1"/>
        <v>1.4333333333333333</v>
      </c>
      <c r="F61" s="35">
        <f t="shared" si="3"/>
        <v>4.4279990021086464</v>
      </c>
      <c r="G61" s="35">
        <f t="shared" si="2"/>
        <v>-0.23534757206752932</v>
      </c>
    </row>
    <row r="62" spans="2:7" ht="15.75" x14ac:dyDescent="0.25">
      <c r="B62" s="51">
        <v>31</v>
      </c>
      <c r="C62" s="52">
        <v>4.8066481937751782</v>
      </c>
      <c r="D62" s="34">
        <f t="shared" si="1"/>
        <v>3.4339872044851463</v>
      </c>
      <c r="E62" s="34">
        <f t="shared" si="1"/>
        <v>1.57</v>
      </c>
      <c r="F62" s="35">
        <f t="shared" si="3"/>
        <v>3.7074403401915568</v>
      </c>
      <c r="G62" s="35">
        <f t="shared" si="2"/>
        <v>1.0992078535836214</v>
      </c>
    </row>
    <row r="63" spans="2:7" ht="15.75" x14ac:dyDescent="0.25">
      <c r="B63" s="51">
        <v>169</v>
      </c>
      <c r="C63" s="52">
        <v>1.2092495976572515</v>
      </c>
      <c r="D63" s="34">
        <f t="shared" si="1"/>
        <v>5.1298987149230735</v>
      </c>
      <c r="E63" s="34">
        <f t="shared" si="1"/>
        <v>0.19000000000000003</v>
      </c>
      <c r="F63" s="35">
        <f t="shared" si="3"/>
        <v>1.1427715324303258</v>
      </c>
      <c r="G63" s="35">
        <f t="shared" si="2"/>
        <v>6.6478065226925676E-2</v>
      </c>
    </row>
    <row r="64" spans="2:7" ht="15.75" x14ac:dyDescent="0.25">
      <c r="B64" s="51">
        <v>37</v>
      </c>
      <c r="C64" s="52">
        <v>5.1209160206564004</v>
      </c>
      <c r="D64" s="34">
        <f t="shared" si="1"/>
        <v>3.6109179126442243</v>
      </c>
      <c r="E64" s="34">
        <f t="shared" si="1"/>
        <v>1.6333333333333333</v>
      </c>
      <c r="F64" s="35">
        <f t="shared" si="3"/>
        <v>3.2790700576109786</v>
      </c>
      <c r="G64" s="35">
        <f t="shared" si="2"/>
        <v>1.8418459630454218</v>
      </c>
    </row>
    <row r="65" spans="2:7" ht="15.75" x14ac:dyDescent="0.25">
      <c r="B65" s="51">
        <v>13</v>
      </c>
      <c r="C65" s="52">
        <v>5.8513164298203435</v>
      </c>
      <c r="D65" s="34">
        <f t="shared" si="1"/>
        <v>2.5649493574615367</v>
      </c>
      <c r="E65" s="34">
        <f t="shared" si="1"/>
        <v>1.7666666666666666</v>
      </c>
      <c r="F65" s="35">
        <f t="shared" si="3"/>
        <v>6.7761854422882886</v>
      </c>
      <c r="G65" s="35">
        <f t="shared" si="2"/>
        <v>-0.92486901246794506</v>
      </c>
    </row>
    <row r="66" spans="2:7" ht="15.75" x14ac:dyDescent="0.25">
      <c r="B66" s="51">
        <v>5</v>
      </c>
      <c r="C66" s="52">
        <v>17.002039940094019</v>
      </c>
      <c r="D66" s="34">
        <f t="shared" si="1"/>
        <v>1.6094379124341003</v>
      </c>
      <c r="E66" s="34">
        <f t="shared" si="1"/>
        <v>2.8333333333333335</v>
      </c>
      <c r="F66" s="35">
        <f t="shared" si="3"/>
        <v>13.150972074629715</v>
      </c>
      <c r="G66" s="35">
        <f t="shared" si="2"/>
        <v>3.8510678654643034</v>
      </c>
    </row>
    <row r="67" spans="2:7" ht="15.75" x14ac:dyDescent="0.25">
      <c r="D67" s="50"/>
      <c r="E67" s="50"/>
      <c r="F67" s="50"/>
      <c r="G67" s="50"/>
    </row>
  </sheetData>
  <pageMargins left="0.75" right="0.75" top="1" bottom="1" header="0" footer="0"/>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3:N38"/>
  <sheetViews>
    <sheetView tabSelected="1" workbookViewId="0">
      <selection activeCell="C33" sqref="C33"/>
    </sheetView>
  </sheetViews>
  <sheetFormatPr baseColWidth="10" defaultColWidth="9.140625" defaultRowHeight="15" x14ac:dyDescent="0.25"/>
  <cols>
    <col min="1" max="6" width="9.140625" style="62"/>
    <col min="7" max="7" width="9.28515625" style="62" bestFit="1" customWidth="1"/>
    <col min="8" max="9" width="9.140625" style="62"/>
    <col min="10" max="10" width="11.42578125" style="62" bestFit="1" customWidth="1"/>
    <col min="11" max="16384" width="9.140625" style="62"/>
  </cols>
  <sheetData>
    <row r="13" spans="1:14" x14ac:dyDescent="0.25">
      <c r="A13" s="60" t="s">
        <v>74</v>
      </c>
      <c r="B13" s="60" t="s">
        <v>2</v>
      </c>
      <c r="C13" s="60" t="s">
        <v>3</v>
      </c>
      <c r="D13" s="61" t="s">
        <v>75</v>
      </c>
      <c r="E13" s="61" t="s">
        <v>76</v>
      </c>
      <c r="F13" s="61" t="s">
        <v>77</v>
      </c>
      <c r="G13" s="61" t="s">
        <v>78</v>
      </c>
      <c r="H13" s="61" t="s">
        <v>72</v>
      </c>
      <c r="I13" s="61" t="s">
        <v>71</v>
      </c>
      <c r="J13" s="61" t="s">
        <v>79</v>
      </c>
    </row>
    <row r="14" spans="1:14" x14ac:dyDescent="0.25">
      <c r="A14" s="63">
        <v>1</v>
      </c>
      <c r="B14" s="64">
        <v>1120</v>
      </c>
      <c r="C14" s="63">
        <v>630</v>
      </c>
      <c r="D14" s="65">
        <f t="shared" ref="D14:D23" si="0">1/B14</f>
        <v>8.9285714285714283E-4</v>
      </c>
      <c r="E14" s="146">
        <f>D14^2</f>
        <v>7.9719387755102033E-7</v>
      </c>
      <c r="F14" s="73">
        <f t="shared" ref="F14:F23" si="1">C14^2</f>
        <v>396900</v>
      </c>
      <c r="G14" s="65">
        <f t="shared" ref="G14:G23" si="2">C14/B14</f>
        <v>0.5625</v>
      </c>
      <c r="H14" s="147">
        <f t="shared" ref="H14:H23" si="3">$G$29+$G$30*D14</f>
        <v>653.8527745558896</v>
      </c>
      <c r="I14" s="147">
        <f t="shared" ref="I14:I23" si="4">C14-H14</f>
        <v>-23.852774555889596</v>
      </c>
      <c r="J14" s="147">
        <f>I14^2</f>
        <v>568.95485401409405</v>
      </c>
    </row>
    <row r="15" spans="1:14" x14ac:dyDescent="0.25">
      <c r="A15" s="63">
        <v>2</v>
      </c>
      <c r="B15" s="64">
        <v>1200</v>
      </c>
      <c r="C15" s="63">
        <v>730</v>
      </c>
      <c r="D15" s="65">
        <f t="shared" si="0"/>
        <v>8.3333333333333339E-4</v>
      </c>
      <c r="E15" s="146">
        <f t="shared" ref="E15:E23" si="5">D15^2</f>
        <v>6.9444444444444458E-7</v>
      </c>
      <c r="F15" s="73">
        <f t="shared" si="1"/>
        <v>532900</v>
      </c>
      <c r="G15" s="65">
        <f t="shared" si="2"/>
        <v>0.60833333333333328</v>
      </c>
      <c r="H15" s="147">
        <f t="shared" si="3"/>
        <v>719.79901867549165</v>
      </c>
      <c r="I15" s="147">
        <f t="shared" si="4"/>
        <v>10.200981324508348</v>
      </c>
      <c r="J15" s="147">
        <f t="shared" ref="J15:J23" si="6">I15^2</f>
        <v>104.06001998296809</v>
      </c>
      <c r="M15" s="193" t="s">
        <v>105</v>
      </c>
      <c r="N15" s="192" t="s">
        <v>127</v>
      </c>
    </row>
    <row r="16" spans="1:14" x14ac:dyDescent="0.25">
      <c r="A16" s="63">
        <v>3</v>
      </c>
      <c r="B16" s="64">
        <v>1310</v>
      </c>
      <c r="C16" s="63">
        <v>800</v>
      </c>
      <c r="D16" s="65">
        <f t="shared" si="0"/>
        <v>7.6335877862595419E-4</v>
      </c>
      <c r="E16" s="146">
        <f t="shared" si="5"/>
        <v>5.827166249053085E-7</v>
      </c>
      <c r="F16" s="73">
        <f t="shared" si="1"/>
        <v>640000</v>
      </c>
      <c r="G16" s="65">
        <f t="shared" si="2"/>
        <v>0.61068702290076338</v>
      </c>
      <c r="H16" s="147">
        <f t="shared" si="3"/>
        <v>797.32361099929881</v>
      </c>
      <c r="I16" s="147">
        <f t="shared" si="4"/>
        <v>2.6763890007011923</v>
      </c>
      <c r="J16" s="147">
        <f t="shared" si="6"/>
        <v>7.1630580830743273</v>
      </c>
      <c r="N16" s="192" t="s">
        <v>128</v>
      </c>
    </row>
    <row r="17" spans="1:14" x14ac:dyDescent="0.25">
      <c r="A17" s="63">
        <v>4</v>
      </c>
      <c r="B17" s="64">
        <v>1470</v>
      </c>
      <c r="C17" s="63">
        <v>900</v>
      </c>
      <c r="D17" s="65">
        <f t="shared" si="0"/>
        <v>6.8027210884353737E-4</v>
      </c>
      <c r="E17" s="146">
        <f t="shared" si="5"/>
        <v>4.6277014207043354E-7</v>
      </c>
      <c r="F17" s="73">
        <f t="shared" si="1"/>
        <v>810000</v>
      </c>
      <c r="G17" s="65">
        <f t="shared" si="2"/>
        <v>0.61224489795918369</v>
      </c>
      <c r="H17" s="147">
        <f t="shared" si="3"/>
        <v>889.37507498304024</v>
      </c>
      <c r="I17" s="147">
        <f t="shared" si="4"/>
        <v>10.624925016959764</v>
      </c>
      <c r="J17" s="147">
        <f t="shared" si="6"/>
        <v>112.88903161601745</v>
      </c>
      <c r="N17" s="192" t="s">
        <v>129</v>
      </c>
    </row>
    <row r="18" spans="1:14" x14ac:dyDescent="0.25">
      <c r="A18" s="63">
        <v>5</v>
      </c>
      <c r="B18" s="64">
        <v>1500</v>
      </c>
      <c r="C18" s="63">
        <v>900</v>
      </c>
      <c r="D18" s="65">
        <f t="shared" si="0"/>
        <v>6.6666666666666664E-4</v>
      </c>
      <c r="E18" s="146">
        <f t="shared" si="5"/>
        <v>4.4444444444444444E-7</v>
      </c>
      <c r="F18" s="73">
        <f t="shared" si="1"/>
        <v>810000</v>
      </c>
      <c r="G18" s="65">
        <f t="shared" si="2"/>
        <v>0.6</v>
      </c>
      <c r="H18" s="147">
        <f t="shared" si="3"/>
        <v>904.4485022103778</v>
      </c>
      <c r="I18" s="147">
        <f t="shared" si="4"/>
        <v>-4.4485022103777965</v>
      </c>
      <c r="J18" s="147">
        <f t="shared" si="6"/>
        <v>19.789171915736141</v>
      </c>
      <c r="N18" s="192" t="s">
        <v>130</v>
      </c>
    </row>
    <row r="19" spans="1:14" x14ac:dyDescent="0.25">
      <c r="A19" s="63">
        <v>6</v>
      </c>
      <c r="B19" s="64">
        <v>1750</v>
      </c>
      <c r="C19" s="63">
        <v>1000</v>
      </c>
      <c r="D19" s="65">
        <f t="shared" si="0"/>
        <v>5.7142857142857147E-4</v>
      </c>
      <c r="E19" s="146">
        <f t="shared" si="5"/>
        <v>3.2653061224489803E-7</v>
      </c>
      <c r="F19" s="73">
        <f t="shared" si="1"/>
        <v>1000000</v>
      </c>
      <c r="G19" s="65">
        <f t="shared" si="2"/>
        <v>0.5714285714285714</v>
      </c>
      <c r="H19" s="147">
        <f t="shared" si="3"/>
        <v>1009.9624928017413</v>
      </c>
      <c r="I19" s="147">
        <f t="shared" si="4"/>
        <v>-9.9624928017412913</v>
      </c>
      <c r="J19" s="147">
        <f t="shared" si="6"/>
        <v>99.251262824747045</v>
      </c>
    </row>
    <row r="20" spans="1:14" x14ac:dyDescent="0.25">
      <c r="A20" s="63">
        <v>7</v>
      </c>
      <c r="B20" s="64">
        <v>1400</v>
      </c>
      <c r="C20" s="63">
        <v>880</v>
      </c>
      <c r="D20" s="65">
        <f t="shared" si="0"/>
        <v>7.1428571428571429E-4</v>
      </c>
      <c r="E20" s="146">
        <f t="shared" si="5"/>
        <v>5.1020408163265302E-7</v>
      </c>
      <c r="F20" s="73">
        <f t="shared" si="1"/>
        <v>774400</v>
      </c>
      <c r="G20" s="65">
        <f t="shared" si="2"/>
        <v>0.62857142857142856</v>
      </c>
      <c r="H20" s="147">
        <f t="shared" si="3"/>
        <v>851.69150691469611</v>
      </c>
      <c r="I20" s="147">
        <f t="shared" si="4"/>
        <v>28.308493085303894</v>
      </c>
      <c r="J20" s="147">
        <f t="shared" si="6"/>
        <v>801.37078076069838</v>
      </c>
    </row>
    <row r="21" spans="1:14" x14ac:dyDescent="0.25">
      <c r="A21" s="63">
        <v>8</v>
      </c>
      <c r="B21" s="64">
        <v>1700</v>
      </c>
      <c r="C21" s="63">
        <v>965</v>
      </c>
      <c r="D21" s="65">
        <f t="shared" si="0"/>
        <v>5.8823529411764701E-4</v>
      </c>
      <c r="E21" s="146">
        <f t="shared" si="5"/>
        <v>3.4602076124567469E-7</v>
      </c>
      <c r="F21" s="73">
        <f t="shared" si="1"/>
        <v>931225</v>
      </c>
      <c r="G21" s="65">
        <f t="shared" si="2"/>
        <v>0.56764705882352939</v>
      </c>
      <c r="H21" s="147">
        <f t="shared" si="3"/>
        <v>991.34237681503021</v>
      </c>
      <c r="I21" s="147">
        <f t="shared" si="4"/>
        <v>-26.342376815030207</v>
      </c>
      <c r="J21" s="147">
        <f t="shared" si="6"/>
        <v>693.92081626504103</v>
      </c>
    </row>
    <row r="22" spans="1:14" x14ac:dyDescent="0.25">
      <c r="A22" s="63">
        <v>9</v>
      </c>
      <c r="B22" s="64">
        <v>1600</v>
      </c>
      <c r="C22" s="63">
        <v>935</v>
      </c>
      <c r="D22" s="65">
        <f t="shared" si="0"/>
        <v>6.2500000000000001E-4</v>
      </c>
      <c r="E22" s="146">
        <f t="shared" si="5"/>
        <v>3.9062500000000002E-7</v>
      </c>
      <c r="F22" s="73">
        <f t="shared" si="1"/>
        <v>874225</v>
      </c>
      <c r="G22" s="65">
        <f t="shared" si="2"/>
        <v>0.58437499999999998</v>
      </c>
      <c r="H22" s="147">
        <f t="shared" si="3"/>
        <v>950.61087309409936</v>
      </c>
      <c r="I22" s="147">
        <f t="shared" si="4"/>
        <v>-15.610873094099361</v>
      </c>
      <c r="J22" s="147">
        <f t="shared" si="6"/>
        <v>243.69935876007537</v>
      </c>
    </row>
    <row r="23" spans="1:14" x14ac:dyDescent="0.25">
      <c r="A23" s="66">
        <v>10</v>
      </c>
      <c r="B23" s="67">
        <v>1650</v>
      </c>
      <c r="C23" s="66">
        <v>1000</v>
      </c>
      <c r="D23" s="68">
        <f t="shared" si="0"/>
        <v>6.0606060606060606E-4</v>
      </c>
      <c r="E23" s="148">
        <f t="shared" si="5"/>
        <v>3.6730945821854913E-7</v>
      </c>
      <c r="F23" s="149">
        <f t="shared" si="1"/>
        <v>1000000</v>
      </c>
      <c r="G23" s="68">
        <f t="shared" si="2"/>
        <v>0.60606060606060608</v>
      </c>
      <c r="H23" s="147">
        <f t="shared" si="3"/>
        <v>971.59376895033643</v>
      </c>
      <c r="I23" s="147">
        <f t="shared" si="4"/>
        <v>28.406231049663575</v>
      </c>
      <c r="J23" s="147">
        <f t="shared" si="6"/>
        <v>806.91396244687098</v>
      </c>
    </row>
    <row r="24" spans="1:14" x14ac:dyDescent="0.25">
      <c r="A24" s="61" t="s">
        <v>36</v>
      </c>
      <c r="B24" s="69"/>
      <c r="C24" s="70">
        <f>SUM(C14:C23)</f>
        <v>8740</v>
      </c>
      <c r="D24" s="71">
        <f t="shared" ref="D24" si="7">SUM(D14:D23)</f>
        <v>6.9414982162191736E-3</v>
      </c>
      <c r="E24" s="72">
        <v>4.92226E-6</v>
      </c>
      <c r="F24" s="73">
        <v>7769650</v>
      </c>
      <c r="G24" s="74">
        <v>5.9518000000000004</v>
      </c>
      <c r="H24" s="79"/>
      <c r="I24" s="150">
        <f>SUM(I14:I23)</f>
        <v>-1.4779288903810084E-12</v>
      </c>
      <c r="J24" s="151">
        <f>SUM(J14:J23)</f>
        <v>3458.0123166693229</v>
      </c>
    </row>
    <row r="25" spans="1:14" x14ac:dyDescent="0.25">
      <c r="A25" s="61" t="s">
        <v>80</v>
      </c>
      <c r="B25" s="76"/>
      <c r="C25" s="77">
        <f>C24/10</f>
        <v>874</v>
      </c>
      <c r="D25" s="78">
        <f t="shared" ref="D25:G25" si="8">D24/10</f>
        <v>6.9414982162191734E-4</v>
      </c>
      <c r="E25" s="72">
        <f t="shared" si="8"/>
        <v>4.92226E-7</v>
      </c>
      <c r="F25" s="73">
        <f t="shared" si="8"/>
        <v>776965</v>
      </c>
      <c r="G25" s="74">
        <f t="shared" si="8"/>
        <v>0.59518000000000004</v>
      </c>
      <c r="H25" s="79"/>
      <c r="I25" s="79"/>
      <c r="J25" s="151">
        <f>J24/10</f>
        <v>345.80123166693227</v>
      </c>
    </row>
    <row r="26" spans="1:14" x14ac:dyDescent="0.25">
      <c r="B26" s="79"/>
      <c r="C26" s="79"/>
      <c r="D26" s="79"/>
      <c r="E26" s="72">
        <f>E25-D25*D25</f>
        <v>1.03820251422603E-8</v>
      </c>
      <c r="F26" s="73">
        <f>F25-C25^2</f>
        <v>13089</v>
      </c>
      <c r="G26" s="74">
        <f>G25-C25*D25</f>
        <v>-1.1506944097555705E-2</v>
      </c>
      <c r="J26" s="75"/>
    </row>
    <row r="29" spans="1:14" x14ac:dyDescent="0.25">
      <c r="D29" s="193" t="s">
        <v>106</v>
      </c>
      <c r="F29" s="152" t="s">
        <v>21</v>
      </c>
      <c r="G29" s="153">
        <f>INTERCEPT(C14:C23,D14:D23)</f>
        <v>1643.0464363499223</v>
      </c>
    </row>
    <row r="30" spans="1:14" x14ac:dyDescent="0.25">
      <c r="F30" s="152" t="s">
        <v>22</v>
      </c>
      <c r="G30" s="154">
        <f>SLOPE(C14:C23,D14:D23)</f>
        <v>-1107896.9012093167</v>
      </c>
    </row>
    <row r="31" spans="1:14" x14ac:dyDescent="0.25">
      <c r="F31" s="80"/>
    </row>
    <row r="32" spans="1:14" ht="17.25" x14ac:dyDescent="0.25">
      <c r="D32" s="193" t="s">
        <v>107</v>
      </c>
      <c r="F32" s="155" t="s">
        <v>131</v>
      </c>
      <c r="G32" s="156">
        <f>1-J25/F26</f>
        <v>0.97358077533295651</v>
      </c>
    </row>
    <row r="33" spans="4:11" ht="15.75" thickBot="1" x14ac:dyDescent="0.3">
      <c r="F33" s="155" t="s">
        <v>9</v>
      </c>
      <c r="G33" s="156">
        <f>SQRT(G32)</f>
        <v>0.98670196885024841</v>
      </c>
    </row>
    <row r="34" spans="4:11" ht="17.25" customHeight="1" x14ac:dyDescent="0.25">
      <c r="E34" s="194" t="s">
        <v>126</v>
      </c>
      <c r="F34" s="195"/>
      <c r="G34" s="198">
        <f>RSQ(C14:C23,D14:D23)</f>
        <v>0.97358077533295662</v>
      </c>
    </row>
    <row r="35" spans="4:11" ht="15.75" thickBot="1" x14ac:dyDescent="0.3">
      <c r="E35" s="196"/>
      <c r="F35" s="197"/>
      <c r="G35" s="199"/>
    </row>
    <row r="36" spans="4:11" x14ac:dyDescent="0.25">
      <c r="D36" s="193" t="s">
        <v>108</v>
      </c>
      <c r="F36" s="81" t="s">
        <v>81</v>
      </c>
      <c r="G36" s="157">
        <f>$G$29+$G$30*(1/3000)</f>
        <v>1273.74746928015</v>
      </c>
    </row>
    <row r="37" spans="4:11" x14ac:dyDescent="0.25">
      <c r="G37" s="158" t="s">
        <v>82</v>
      </c>
      <c r="H37" s="158"/>
      <c r="I37" s="158"/>
      <c r="J37" s="158"/>
      <c r="K37" s="158"/>
    </row>
    <row r="38" spans="4:11" x14ac:dyDescent="0.25">
      <c r="G38" s="158" t="s">
        <v>83</v>
      </c>
      <c r="H38" s="158"/>
      <c r="I38" s="158"/>
      <c r="J38" s="158"/>
      <c r="K38" s="158"/>
    </row>
  </sheetData>
  <mergeCells count="2">
    <mergeCell ref="E34:F35"/>
    <mergeCell ref="G34:G3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Estatura-Peso No lineal</vt:lpstr>
      <vt:lpstr>Refrescos</vt:lpstr>
      <vt:lpstr>Publicidad</vt:lpstr>
      <vt:lpstr>Producción_agrícola</vt:lpstr>
      <vt:lpstr>Piezas</vt:lpstr>
      <vt:lpstr>Familias</vt:lpstr>
      <vt:lpstr>Publicidad!Área_de_impresión</vt:lpstr>
      <vt:lpstr>Estatura</vt:lpstr>
      <vt:lpstr>'Estatura-Peso No lineal'!lnX</vt:lpstr>
      <vt:lpstr>Peso</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Unknown Creator</dc:creator>
  <cp:lastModifiedBy>usuario</cp:lastModifiedBy>
  <dcterms:created xsi:type="dcterms:W3CDTF">2014-10-23T09:05:35Z</dcterms:created>
  <dcterms:modified xsi:type="dcterms:W3CDTF">2022-06-03T00:56:51Z</dcterms:modified>
</cp:coreProperties>
</file>